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Árlista"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Típus</t>
        </is>
      </c>
      <c r="B1" s="5" t="inlineStr">
        <is>
          <t>Megnevezés</t>
        </is>
      </c>
      <c r="C1" s="5" t="inlineStr">
        <is>
          <t>Ajánlott bruttó fogyasztói ár HUF</t>
        </is>
      </c>
      <c r="D1" s="5" t="inlineStr">
        <is>
          <t>Link</t>
        </is>
      </c>
      <c r="E1" s="5" t="inlineStr">
        <is>
          <t>Kép</t>
        </is>
      </c>
      <c r="F1" s="5" t="inlineStr">
        <is>
          <t>Vonalkód</t>
        </is>
      </c>
      <c r="G1" s="5" t="inlineStr">
        <is>
          <t>Leírás</t>
        </is>
      </c>
    </row>
    <row r="2">
      <c r="A2" s="6" t="inlineStr">
        <is>
          <t>Nyári extra akció</t>
        </is>
      </c>
      <c r="B2" s="6" t="inlineStr">
        <is>
          <t/>
        </is>
      </c>
      <c r="C2" s="6" t="inlineStr">
        <is>
          <t/>
        </is>
      </c>
      <c r="D2" s="6" t="inlineStr">
        <is>
          <t/>
        </is>
      </c>
      <c r="E2" s="6" t="inlineStr">
        <is>
          <t/>
        </is>
      </c>
      <c r="F2" s="6" t="inlineStr">
        <is>
          <t/>
        </is>
      </c>
      <c r="G2" s="6" t="inlineStr">
        <is>
          <t/>
        </is>
      </c>
    </row>
    <row r="3">
      <c r="A3" s="3" t="inlineStr">
        <is>
          <t>SWF 01</t>
        </is>
      </c>
      <c r="B3" s="2" t="inlineStr">
        <is>
          <t>Home SWF 01 napelemes kerti szökőkút, négy szórófej, 40cm vízoszlop, IPX8, automatikus, elem nélkül</t>
        </is>
      </c>
      <c r="C3" s="1" t="n">
        <v>5490.0</v>
      </c>
      <c r="D3" s="7" t="n">
        <f>HYPERLINK("https://www.somogyi.hu/product/home-swf-01-napelemes-kerti-szokokut-negy-szorofej-40cm-vizoszlop-ipx8-automatikus-elem-nelkul-swf-01-17102","https://www.somogyi.hu/product/home-swf-01-napelemes-kerti-szokokut-negy-szorofej-40cm-vizoszlop-ipx8-automatikus-elem-nelkul-swf-01-17102")</f>
        <v>0.0</v>
      </c>
      <c r="E3" s="7" t="n">
        <f>HYPERLINK("https://www.somogyi.hu/data/img/product_main_images/small/17102.jpg","https://www.somogyi.hu/data/img/product_main_images/small/17102.jpg")</f>
        <v>0.0</v>
      </c>
      <c r="F3" s="2" t="inlineStr">
        <is>
          <t>5999084951344</t>
        </is>
      </c>
      <c r="G3" s="4" t="inlineStr">
        <is>
          <t>Az SWF 01 Napelemes kerti szökőkúttal garantált lesz a hangulatos kert vagy terasz. Számos helyre elhelyezhető a napelemes tápegység által, mivel nem kell a vezetékekkel bajlódni és elektromos táplálást keresni. A 4 db szórófej tetszés szerint cserélhető. 
Az IP X8 védelem által maximum 1 méter mélységig használható.</t>
        </is>
      </c>
    </row>
    <row r="4">
      <c r="A4" s="3" t="inlineStr">
        <is>
          <t>MX 626/2</t>
        </is>
      </c>
      <c r="B4" s="2" t="inlineStr">
        <is>
          <t>Home MX 626/2 napelemes kerti lámpa szett, 2 db, fém és műanyag, 8 db SMD LED, automatikus, időjárásálló</t>
        </is>
      </c>
      <c r="C4" s="1" t="n">
        <v>3490.0</v>
      </c>
      <c r="D4" s="7" t="n">
        <f>HYPERLINK("https://www.somogyi.hu/product/home-mx-626-2-napelemes-kerti-lampa-szett-2-db-fem-es-muanyag-8-db-smd-led-automatikus-idojarasallo-mx-626-2-17601","https://www.somogyi.hu/product/home-mx-626-2-napelemes-kerti-lampa-szett-2-db-fem-es-muanyag-8-db-smd-led-automatikus-idojarasallo-mx-626-2-17601")</f>
        <v>0.0</v>
      </c>
      <c r="E4" s="7" t="n">
        <f>HYPERLINK("https://www.somogyi.hu/data/img/product_main_images/small/17601.jpg","https://www.somogyi.hu/data/img/product_main_images/small/17601.jpg")</f>
        <v>0.0</v>
      </c>
      <c r="F4" s="2" t="inlineStr">
        <is>
          <t>5999084956233</t>
        </is>
      </c>
      <c r="G4" s="4" t="inlineStr">
        <is>
          <t>Tegye kertjét vagy udvarát még varázslatosabbá földbe szúrható napelemes kerti lámpa szettel.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db 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Ni-MH.</t>
        </is>
      </c>
    </row>
    <row r="5">
      <c r="A5" s="3" t="inlineStr">
        <is>
          <t>MX 651</t>
        </is>
      </c>
      <c r="B5" s="2" t="inlineStr">
        <is>
          <t>Home MX 651 napelemes fali lámpa, 1 db melegfehér SMD LED, cserélhető akkumulátor</t>
        </is>
      </c>
      <c r="C5" s="1" t="n">
        <v>4890.0</v>
      </c>
      <c r="D5" s="7" t="n">
        <f>HYPERLINK("https://www.somogyi.hu/product/home-mx-651-napelemes-fali-lampa-1-db-melegfeher-smd-led-cserelheto-akkumulator-mx-651-17600","https://www.somogyi.hu/product/home-mx-651-napelemes-fali-lampa-1-db-melegfeher-smd-led-cserelheto-akkumulator-mx-651-17600")</f>
        <v>0.0</v>
      </c>
      <c r="E5" s="7" t="n">
        <f>HYPERLINK("https://www.somogyi.hu/data/img/product_main_images/small/17600.jpg","https://www.somogyi.hu/data/img/product_main_images/small/17600.jpg")</f>
        <v>0.0</v>
      </c>
      <c r="F5" s="2" t="inlineStr">
        <is>
          <t>5999084956226</t>
        </is>
      </c>
      <c r="G5" s="4" t="inlineStr">
        <is>
          <t>Tegye kertjét vagy teraszát még varázslatosabbá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A lámpa falra szerelhető, a csomagolás tartalmazza a felszereléshez szükséges csavart és tiplit. Fényét 1 db nagy fényerejű melegfehér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6">
      <c r="A6" s="3" t="inlineStr">
        <is>
          <t>AIR 18 WIFI</t>
        </is>
      </c>
      <c r="B6" s="2" t="inlineStr">
        <is>
          <t>Home AIR 18 WIFI légtisztító, ajánlott szobaméret: max. 18 m2, légszállítás: 150 m3/óra, HEPA-szűrő, TUYA smart kompatibilis, anion funkció</t>
        </is>
      </c>
      <c r="C6" s="1" t="n">
        <v>39990.0</v>
      </c>
      <c r="D6" s="7" t="n">
        <f>HYPERLINK("https://www.somogyi.hu/product/home-air-18-wifi-legtisztito-ajanlott-szobameret-max-18-m2-legszallitas-150-m3-ora-hepa-szuro-tuya-smart-kompatibilis-anion-funkcio-air-18-wifi-17774","https://www.somogyi.hu/product/home-air-18-wifi-legtisztito-ajanlott-szobameret-max-18-m2-legszallitas-150-m3-ora-hepa-szuro-tuya-smart-kompatibilis-anion-funkcio-air-18-wifi-17774")</f>
        <v>0.0</v>
      </c>
      <c r="E6" s="7" t="n">
        <f>HYPERLINK("https://www.somogyi.hu/data/img/product_main_images/small/17774.jpg","https://www.somogyi.hu/data/img/product_main_images/small/17774.jpg")</f>
        <v>0.0</v>
      </c>
      <c r="F6" s="2" t="inlineStr">
        <is>
          <t>5999084957964</t>
        </is>
      </c>
      <c r="G6" s="4" t="inlineStr">
        <is>
          <t>Szeretne egy intelligens és hatékony légtisztítót a pollenszezonra? Home AIR 18 WIFI légtisztító megbízható társa lesz otthona levegőjének megtisztításában
A Home AIR 18 WIFI légtisztító minden funkciója arra lett tervezve, hogy otthona levegője tisztább és egészségesebb legyen. A készülék TUYA smart applikációval vezérelhető, így bárhonnan irányíthatja, akár távolról is, ami páratlan kényelmet nyújt a mindennapokban. A 150 m³/óra légszállítási kapacitás és a HEPA-szűrő együttesen garantálják, hogy a kisebb, akár 18 m²-es helyiségek levegője gyorsan és hatékonyan megtisztuljon a káros részecskéktől. A készülék kezelése egyszerű, az érintőgombok segítségével könnyedén választhat a magas, közepes vagy alacsony ventilátorsebességek között, és az anion funkcióval tovább javíthatja a levegő minőségét.
A szűrőcsere-figyelmeztető rendszer a készüléken folyamatosan tájékoztatja a szűrő állapotáról, a hátralévő napok számát pedig az applikációban követheti nyomon, így biztosítva, hogy a légtisztító mindig a legjobb hatékonysággal működjön. A kiegészítő légszűrő (AIR 18 WIFI/S) biztosítja, hogy a szűrőcsere egyszerű és gyors legyen. A készülék kompakt méretei (∅213 x 280 mm) és alacsony energiafogyasztása (230 V~ / 50 Hz / 28 W) lehetővé teszik, hogy szinte bármelyik helyiségben diszkréten működjön.
Tegye otthonát okosabbá és élhetőbbé a Home AIR 18 WIFI légtisztítóval, amely nemcsak tisztítja, de okosan gondoskodik otthona levegőjéről. Rendelje meg még ma, és tapasztalja meg a különbséget!</t>
        </is>
      </c>
    </row>
    <row r="7">
      <c r="A7" s="3" t="inlineStr">
        <is>
          <t>MX 618S</t>
        </is>
      </c>
      <c r="B7" s="2" t="inlineStr">
        <is>
          <t>Home MX 618S napelemes kerti dekoráció, 1 db LED, automatikus, 8 óra üzemidő, szitakötő</t>
        </is>
      </c>
      <c r="C7" s="1" t="n">
        <v>1990.0</v>
      </c>
      <c r="D7" s="7" t="n">
        <f>HYPERLINK("https://www.somogyi.hu/product/home-mx-618s-napelemes-kerti-dekoracio-1-db-led-automatikus-8-ora-uzemido-szitakoto-mx-618s-16712","https://www.somogyi.hu/product/home-mx-618s-napelemes-kerti-dekoracio-1-db-led-automatikus-8-ora-uzemido-szitakoto-mx-618s-16712")</f>
        <v>0.0</v>
      </c>
      <c r="E7" s="7" t="n">
        <f>HYPERLINK("https://www.somogyi.hu/data/img/product_main_images/small/16712.jpg","https://www.somogyi.hu/data/img/product_main_images/small/16712.jpg")</f>
        <v>0.0</v>
      </c>
      <c r="F7" s="2" t="inlineStr">
        <is>
          <t>5999084947446</t>
        </is>
      </c>
      <c r="G7" s="4" t="inlineStr">
        <is>
          <t>Az MX 618 S Napelemes kerti dekorációval dobja fel teraszát vagy kertjét. A szitakötő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8">
      <c r="A8" s="3" t="inlineStr">
        <is>
          <t>MX 642</t>
        </is>
      </c>
      <c r="B8" s="2" t="inlineStr">
        <is>
          <t>Home MX 642 napelemes kerti lámpa, 8 db SMD LED, automatikus, napelemes, akkumulátoros, 2 db</t>
        </is>
      </c>
      <c r="C8" s="1" t="n">
        <v>6390.0</v>
      </c>
      <c r="D8" s="7" t="n">
        <f>HYPERLINK("https://www.somogyi.hu/product/home-mx-642-napelemes-kerti-lampa-8-db-smd-led-automatikus-napelemes-akkumulatoros-2-db-mx-642-17604","https://www.somogyi.hu/product/home-mx-642-napelemes-kerti-lampa-8-db-smd-led-automatikus-napelemes-akkumulatoros-2-db-mx-642-17604")</f>
        <v>0.0</v>
      </c>
      <c r="E8" s="7" t="n">
        <f>HYPERLINK("https://www.somogyi.hu/data/img/product_main_images/small/17604.jpg","https://www.somogyi.hu/data/img/product_main_images/small/17604.jpg")</f>
        <v>0.0</v>
      </c>
      <c r="F8" s="2" t="inlineStr">
        <is>
          <t>5999084956264</t>
        </is>
      </c>
      <c r="G8" s="4" t="inlineStr">
        <is>
          <t>Tegye kertjét vagy teraszát még varázslatosabbá béka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melegfehér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AA, cserélhető.</t>
        </is>
      </c>
    </row>
    <row r="9">
      <c r="A9" s="3" t="inlineStr">
        <is>
          <t>MX 655/2</t>
        </is>
      </c>
      <c r="B9" s="2" t="inlineStr">
        <is>
          <t>Home MX 655/2 napelemes fali lámpa, 2 db SMD LED, napelem és töltő, automatikus</t>
        </is>
      </c>
      <c r="C9" s="1" t="n">
        <v>8290.0</v>
      </c>
      <c r="D9" s="7" t="n">
        <f>HYPERLINK("https://www.somogyi.hu/product/home-mx-655-2-napelemes-fali-lampa-2-db-smd-led-napelem-es-tolto-automatikus-mx-655-2-17981","https://www.somogyi.hu/product/home-mx-655-2-napelemes-fali-lampa-2-db-smd-led-napelem-es-tolto-automatikus-mx-655-2-17981")</f>
        <v>0.0</v>
      </c>
      <c r="E9" s="7" t="n">
        <f>HYPERLINK("https://www.somogyi.hu/data/img/product_main_images/small/17981.jpg","https://www.somogyi.hu/data/img/product_main_images/small/17981.jpg")</f>
        <v>0.0</v>
      </c>
      <c r="F9" s="2" t="inlineStr">
        <is>
          <t>5999084960032</t>
        </is>
      </c>
      <c r="G9" s="4" t="inlineStr">
        <is>
          <t>Letisztult megjelenésű, falra rögzíthető MX 655/2 napelemes lámpa áramköltség nélkül biztosítja járdák, kerti utak, autóbejárók és bejárati ajtók éjszakai megvilágítását. Éjszaka 2 db melegfehér SMD LED világít a napfénnyel táplált, beépített akkumulátornak köszönhetően. Időjárásnak ellenálló festett alumínium és tejüveg kivitel. A csomagolás 2 db terméket tartalmaz. A felszereléshez szükséges csavarok nem tartozékok.</t>
        </is>
      </c>
    </row>
    <row r="10">
      <c r="A10" s="3" t="inlineStr">
        <is>
          <t>MX 200</t>
        </is>
      </c>
      <c r="B10" s="2" t="inlineStr">
        <is>
          <t>Home MX 200 napelemes kerti fáklya, 12 LED, automatikus, napelem és töltő, időjárásálló</t>
        </is>
      </c>
      <c r="C10" s="1" t="n">
        <v>4090.0</v>
      </c>
      <c r="D10" s="7" t="n">
        <f>HYPERLINK("https://www.somogyi.hu/product/home-mx-200-napelemes-kerti-faklya-12-led-automatikus-napelem-es-tolto-idojarasallo-mx-200-16743","https://www.somogyi.hu/product/home-mx-200-napelemes-kerti-faklya-12-led-automatikus-napelem-es-tolto-idojarasallo-mx-200-16743")</f>
        <v>0.0</v>
      </c>
      <c r="E10" s="7" t="n">
        <f>HYPERLINK("https://www.somogyi.hu/data/img/product_main_images/small/16743.jpg","https://www.somogyi.hu/data/img/product_main_images/small/16743.jpg")</f>
        <v>0.0</v>
      </c>
      <c r="F10" s="2" t="inlineStr">
        <is>
          <t>5999084947750</t>
        </is>
      </c>
      <c r="G10" s="4" t="inlineStr">
        <is>
          <t>Az MX 200 Napelemes kerti fáklya valósághű lángeffekttel világít, amely nagyon hangulatos kiegészítése lehet a kertnek vagy a terasznak. Sokoldalúan felhasználható, mivel földbe szúrható, asztalra állítható vagy akár falra szerelhető, így bárhova elhelyezheti. 
A beépített napelem és akkumulátortöltő segítségével nappal töltődik, majd sötétedést követően automatikusan bekapcsol és világít. Időjárásnak ellenálló műanyag kivitelben készült.
Tegye egyedivé a teraszt, udvart vagy a virágoskertet az MX 200 napelemes kerti fáklyánkkal.</t>
        </is>
      </c>
    </row>
    <row r="11">
      <c r="A11" s="3" t="inlineStr">
        <is>
          <t>WF 02</t>
        </is>
      </c>
      <c r="B11" s="2" t="inlineStr">
        <is>
          <t>Home WF 02 csobogó, polyresin, beltéri, LED</t>
        </is>
      </c>
      <c r="C11" s="1" t="n">
        <v>27490.0</v>
      </c>
      <c r="D11" s="7" t="n">
        <f>HYPERLINK("https://www.somogyi.hu/product/home-wf-02-csobogo-polyresin-belteri-led-wf-02-17263","https://www.somogyi.hu/product/home-wf-02-csobogo-polyresin-belteri-led-wf-02-17263")</f>
        <v>0.0</v>
      </c>
      <c r="E11" s="7" t="n">
        <f>HYPERLINK("https://www.somogyi.hu/data/img/product_main_images/small/17263.jpg","https://www.somogyi.hu/data/img/product_main_images/small/17263.jpg")</f>
        <v>0.0</v>
      </c>
      <c r="F11" s="2" t="inlineStr">
        <is>
          <t>5999084952853</t>
        </is>
      </c>
      <c r="G11" s="4" t="inlineStr">
        <is>
          <t>A csobogó polyresin alapanyagú, kőhatású beltéri kivitelű kutat szimbolizál.
Melegfehér LED ragyogása hangulatos dekorációjává válhat a nappalijának, télikertjének.
Tápellátásként a hálózati adapter tartozékul szolgál. Mérete 30,5 x 47,8 x 25,5 cm
Természetes fa hatású, így növényekkel, kövekkel kombinálva kellemes látványt biztosít az otthonában.</t>
        </is>
      </c>
    </row>
    <row r="12">
      <c r="A12" s="3" t="inlineStr">
        <is>
          <t>WF 01</t>
        </is>
      </c>
      <c r="B12" s="2" t="inlineStr">
        <is>
          <t>Home WF 01 csobogó, polyresin, beltéri, LED</t>
        </is>
      </c>
      <c r="C12" s="1" t="n">
        <v>25890.0</v>
      </c>
      <c r="D12" s="7" t="n">
        <f>HYPERLINK("https://www.somogyi.hu/product/home-wf-01-csobogo-polyresin-belteri-led-wf-01-17262","https://www.somogyi.hu/product/home-wf-01-csobogo-polyresin-belteri-led-wf-01-17262")</f>
        <v>0.0</v>
      </c>
      <c r="E12" s="7" t="n">
        <f>HYPERLINK("https://www.somogyi.hu/data/img/product_main_images/small/17262.jpg","https://www.somogyi.hu/data/img/product_main_images/small/17262.jpg")</f>
        <v>0.0</v>
      </c>
      <c r="F12" s="2" t="inlineStr">
        <is>
          <t>5999084952846</t>
        </is>
      </c>
      <c r="G12" s="4" t="inlineStr">
        <is>
          <t>A csobogó polyresin alapanyagú, kőhatású beltéri kivitelű, a melegfehér LED világításával hangulatos dekorációjává válhat a nappalijának, télikertjének.
Tápellátásként a hálózati adapter tartozékul szolgál. Mérete 29,5 x 48 x 23 cm
Természetes hatású, így növényekkel, kövekkel kombinálva impozáns látványt biztosít az otthonában.</t>
        </is>
      </c>
    </row>
    <row r="13">
      <c r="A13" s="3" t="inlineStr">
        <is>
          <t>AIR 50</t>
        </is>
      </c>
      <c r="B13" s="2" t="inlineStr">
        <is>
          <t>Home AIR 50 légtisztító, ajánlott szobaméret: max. 50 m2, légszállítás: 400 m3/óra, előszűrő, HEPA-szűrő, szénszűrő, 3 fokozat, PM2,5 szenzor</t>
        </is>
      </c>
      <c r="C13" s="1" t="n">
        <v>63990.0</v>
      </c>
      <c r="D13" s="7" t="n">
        <f>HYPERLINK("https://www.somogyi.hu/product/home-air-50-legtisztito-ajanlott-szobameret-max-50-m2-legszallitas-400-m3-ora-eloszuro-hepa-szuro-szenszuro-3-fokozat-pm2-5-szenzor-air-50-17260","https://www.somogyi.hu/product/home-air-50-legtisztito-ajanlott-szobameret-max-50-m2-legszallitas-400-m3-ora-eloszuro-hepa-szuro-szenszuro-3-fokozat-pm2-5-szenzor-air-50-17260")</f>
        <v>0.0</v>
      </c>
      <c r="E13" s="7" t="n">
        <f>HYPERLINK("https://www.somogyi.hu/data/img/product_main_images/small/17260.jpg","https://www.somogyi.hu/data/img/product_main_images/small/17260.jpg")</f>
        <v>0.0</v>
      </c>
      <c r="F13" s="2" t="inlineStr">
        <is>
          <t>5999084952822</t>
        </is>
      </c>
      <c r="G13" s="4" t="inlineStr">
        <is>
          <t>Elégedett otthona levegőminőségével? Esetleg pollen érzékeny és szeretne lakásából virágpormentes életteret kialakítani? A Home AIR 50 légtisztító ebben segít Önnek.
A Home AIR 50 légtisztító úgy lett kialakítva, hogy tisztítsa és frissítse a levegőt akár 50 m²-es helyiségekben is, biztosítva ezzel a család minden tagja számára az egészséges belső légkört. Az eszköz különböző szűrési szintjei, beleértve az előszűrőt, HEPA-szűrőt és a szénszűrőt, minden lélegzetvétellel tisztábbá teszik a környezetet, miközben az UV-C LED technológia biztosítja a baktériumok és vírusok elleni védelmet. Óránként 400 m3 képes megtisztítani H 13 szűrési szinten. Az intelligens szenzortechnológiával felszerelt légtisztító a levegőminőség változásait folyamatosan monitorozza, PM2,5 részecskeszintet mérve, és színes fényjelzéssel tájékoztatja a felhasználókat a levegő aktuális állapotáról.
A különböző ventilátorsebességek — magas, közepes, alacsony és automata — lehetővé teszik, hogy mindenki megtalálja a számára ideális beállítást, míg az időzítő funkció (2/4/8 óra) tovább növeli a kényelmet. A gyerekzár és az éjszakai fény funkció gondoskodik arról, hogy a készülék éjszaka is biztonságosan és zavartalanul működjön. A szűrőcsere figyelmeztetés biztosítja, hogy mindig a legjobb hatékonysággal működjön a készülék. Amennyiben a légszűrő elhasználódott az AIR 50S légszűrővel biztosíthatja a folyamatos tiszta levegőminőséget
Fedezze fel a tiszta levegő új dimenzióját a Home AIR 50 légtisztítóval, és élvezze otthonában a frissesség érzetét minden nap!</t>
        </is>
      </c>
    </row>
    <row r="14">
      <c r="A14" s="3" t="inlineStr">
        <is>
          <t>MX 760</t>
        </is>
      </c>
      <c r="B14" s="2" t="inlineStr">
        <is>
          <t>Home MX 760 napelemes kerti lámpa, 8 óra üzemidő, napelem és töltő, automatikus, 1 fehér LED, időjárásálló</t>
        </is>
      </c>
      <c r="C14" s="1" t="n">
        <v>1350.0</v>
      </c>
      <c r="D14" s="7" t="n">
        <f>HYPERLINK("https://www.somogyi.hu/product/home-mx-760-napelemes-kerti-lampa-8-ora-uzemido-napelem-es-tolto-automatikus-1-feher-led-idojarasallo-mx-760-8876","https://www.somogyi.hu/product/home-mx-760-napelemes-kerti-lampa-8-ora-uzemido-napelem-es-tolto-automatikus-1-feher-led-idojarasallo-mx-760-8876")</f>
        <v>0.0</v>
      </c>
      <c r="E14" s="7" t="n">
        <f>HYPERLINK("https://www.somogyi.hu/data/img/product_main_images/small/08876.jpg","https://www.somogyi.hu/data/img/product_main_images/small/08876.jpg")</f>
        <v>0.0</v>
      </c>
      <c r="F14" s="2" t="inlineStr">
        <is>
          <t>5998312777565</t>
        </is>
      </c>
      <c r="G14" s="4" t="inlineStr">
        <is>
          <t>Az MX 760 egy rendkívül divatos külsővel rendelkező napelemes kerti lámpa. A világítást 1 db nagy fényerejű fehér LED szolgáltatja. A napelem természetes fényben tölti az akkut. Be- és kikapcsolódása automatikus, így Önnek csak arra lesz gondja, hogy a földbe leszúrja a lámpát. A termék előnye továbbá, hogy akár 8 órás folyamatos működést is lehetővé tesz.
Cserélhető (1,2 V/100 mAh) AA NiMH akkumulátorral rendelkezik. Mérete: ∅12,5 X 45,5 cm. Válassza a minőségi termékeket és rendeljen webáruházunkból.</t>
        </is>
      </c>
    </row>
    <row r="15">
      <c r="A15" s="3" t="inlineStr">
        <is>
          <t>MX 637</t>
        </is>
      </c>
      <c r="B15" s="2" t="inlineStr">
        <is>
          <t>Home MX 637 napelemes kerti lámpa, 1 db melegfehér LED, automatikus, napelem, bagoly</t>
        </is>
      </c>
      <c r="C15" s="1" t="n">
        <v>6390.0</v>
      </c>
      <c r="D15" s="7" t="n">
        <f>HYPERLINK("https://www.somogyi.hu/product/home-mx-637-napelemes-kerti-lampa-1-db-melegfeher-led-automatikus-napelem-bagoly-mx-637-17603","https://www.somogyi.hu/product/home-mx-637-napelemes-kerti-lampa-1-db-melegfeher-led-automatikus-napelem-bagoly-mx-637-17603")</f>
        <v>0.0</v>
      </c>
      <c r="E15" s="7" t="n">
        <f>HYPERLINK("https://www.somogyi.hu/data/img/product_main_images/small/17603.jpg","https://www.somogyi.hu/data/img/product_main_images/small/17603.jpg")</f>
        <v>0.0</v>
      </c>
      <c r="F15" s="2" t="inlineStr">
        <is>
          <t>5999084956257</t>
        </is>
      </c>
      <c r="G15"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16">
      <c r="A16" s="3" t="inlineStr">
        <is>
          <t>MX 762/2</t>
        </is>
      </c>
      <c r="B16" s="2" t="inlineStr">
        <is>
          <t>Home MX 762/2 napelemes kerti lámpa, 1 db színváltó LED, rozsdamentes fém, időjárásálló, automatikus, színes</t>
        </is>
      </c>
      <c r="C16" s="1" t="n">
        <v>4790.0</v>
      </c>
      <c r="D16" s="7" t="n">
        <f>HYPERLINK("https://www.somogyi.hu/product/home-mx-762-2-napelemes-kerti-lampa-1-db-szinvalto-led-rozsdamentes-fem-idojarasallo-automatikus-szines-mx-762-2-17979","https://www.somogyi.hu/product/home-mx-762-2-napelemes-kerti-lampa-1-db-szinvalto-led-rozsdamentes-fem-idojarasallo-automatikus-szines-mx-762-2-17979")</f>
        <v>0.0</v>
      </c>
      <c r="E16" s="7" t="n">
        <f>HYPERLINK("https://www.somogyi.hu/data/img/product_main_images/small/17979.jpg","https://www.somogyi.hu/data/img/product_main_images/small/17979.jpg")</f>
        <v>0.0</v>
      </c>
      <c r="F16" s="2" t="inlineStr">
        <is>
          <t>5999084960018</t>
        </is>
      </c>
      <c r="G16" s="4" t="inlineStr">
        <is>
          <t>Klasszikus megjelenésű, földbe szúrható  MX 762/2 napelemes lámpa áramköltség nélkül biztosítja járdák, kerti utak, autóbejárók éjszakai megvilágítását. Éjszaka 1 db színváltós LED világít a napfénnyel táplált, beépített akkumulátornak köszönhetően. Időjárásnak ellenálló rozsdamentes fém és műanyag kivitel.</t>
        </is>
      </c>
    </row>
    <row r="17">
      <c r="A17" s="6" t="inlineStr">
        <is>
          <t xml:space="preserve">      Hűtés / Klíma / Légkondicionáló</t>
        </is>
      </c>
      <c r="B17" s="6" t="inlineStr">
        <is>
          <t/>
        </is>
      </c>
      <c r="C17" s="6" t="inlineStr">
        <is>
          <t/>
        </is>
      </c>
      <c r="D17" s="6" t="inlineStr">
        <is>
          <t/>
        </is>
      </c>
      <c r="E17" s="6" t="inlineStr">
        <is>
          <t/>
        </is>
      </c>
      <c r="F17" s="6" t="inlineStr">
        <is>
          <t/>
        </is>
      </c>
      <c r="G17" s="6" t="inlineStr">
        <is>
          <t/>
        </is>
      </c>
    </row>
    <row r="18">
      <c r="A18" s="3" t="inlineStr">
        <is>
          <t>ACM 9000</t>
        </is>
      </c>
      <c r="B18" s="2" t="inlineStr">
        <is>
          <t>Home ACM 9000 mobil klíma, hűtési teljesítmény 2,64 kW / 9000 BTU / h, hűtőközeg R290, távirányító, ideális 20 m2 helyiséghez, 3 üzemmód</t>
        </is>
      </c>
      <c r="C18" s="1" t="n">
        <v>142990.0</v>
      </c>
      <c r="D18" s="7" t="n">
        <f>HYPERLINK("https://www.somogyi.hu/product/home-acm-9000-mobil-klima-hutesi-teljesitmeny-2-64-kw-9000-btu-h-hutokozeg-r290-taviranyito-idealis-20-m2-helyiseghez-3-uzemmod-acm-9000-16671","https://www.somogyi.hu/product/home-acm-9000-mobil-klima-hutesi-teljesitmeny-2-64-kw-9000-btu-h-hutokozeg-r290-taviranyito-idealis-20-m2-helyiseghez-3-uzemmod-acm-9000-16671")</f>
        <v>0.0</v>
      </c>
      <c r="E18" s="7" t="n">
        <f>HYPERLINK("https://www.somogyi.hu/data/img/product_main_images/small/16671.jpg","https://www.somogyi.hu/data/img/product_main_images/small/16671.jpg")</f>
        <v>0.0</v>
      </c>
      <c r="F18" s="2" t="inlineStr">
        <is>
          <t>5999084947033</t>
        </is>
      </c>
      <c r="G18" s="4" t="inlineStr">
        <is>
          <t>Az ACM 9000 mobil klíma akár 20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2,64 kW/ 9000 BTU/h. Maximális szárítási teljesítménye 19,2 l/ 24 h. A kényelmet a be- és kikapcsolás időzítő biztosítja.
Túl meleg van a szobában? Akkor a legpraktikusabb megoldás az ACM 9000 mobil klíma, amely nem jár szereléssel és bajlódással. 
FIGYELEM! A készülék propángázzal (R290) van töltve. A készüléket beüzemelni, használni, tárolni legalább 11,2 m2 alapterületű helyiségben szabad!</t>
        </is>
      </c>
    </row>
    <row r="19">
      <c r="A19" s="3" t="inlineStr">
        <is>
          <t>ACM 12000</t>
        </is>
      </c>
      <c r="B19" s="2" t="inlineStr">
        <is>
          <t>Home ACM 12000 mobil klíma, hűtési teljesítmény 3,5 kW / 12000 BTU / h, hűtőközeg R290, távirányító, ideális 26 m2 helyiséghez, 3 üzemmód</t>
        </is>
      </c>
      <c r="C19" s="1" t="n">
        <v>169990.0</v>
      </c>
      <c r="D19" s="7" t="n">
        <f>HYPERLINK("https://www.somogyi.hu/product/home-acm-12000-mobil-klima-hutesi-teljesitmeny-3-5-kw-12000-btu-h-hutokozeg-r290-taviranyito-idealis-26-m2-helyiseghez-3-uzemmod-acm-12000-16672","https://www.somogyi.hu/product/home-acm-12000-mobil-klima-hutesi-teljesitmeny-3-5-kw-12000-btu-h-hutokozeg-r290-taviranyito-idealis-26-m2-helyiseghez-3-uzemmod-acm-12000-16672")</f>
        <v>0.0</v>
      </c>
      <c r="E19" s="7" t="n">
        <f>HYPERLINK("https://www.somogyi.hu/data/img/product_main_images/small/16672.jpg","https://www.somogyi.hu/data/img/product_main_images/small/16672.jpg")</f>
        <v>0.0</v>
      </c>
      <c r="F19" s="2" t="inlineStr">
        <is>
          <t>5999084947040</t>
        </is>
      </c>
      <c r="G19" s="4" t="inlineStr">
        <is>
          <t>Az ACM 12000 mobil klíma akár 26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3,5 kW/ 12000 BTU/h. Maximális szárítási teljesítménye 36 l/ 24 h. A kényelmet a be- és kikapcsolás időzítő biztosítja. 
Túl meleg van a szobában? Akkor a legpraktikusabb megoldás az ACM 12000 mobil klíma, amely nem jár szereléssel és bajlódással. 
FIGYELEM! A készülék propángázzal (R290) van töltve. A készüléket beüzemelni, használni, tárolni legalább 11,7 m2 alapterületű helyiségben szabad!</t>
        </is>
      </c>
    </row>
    <row r="20">
      <c r="A20" s="3" t="inlineStr">
        <is>
          <t>ACH 12000</t>
        </is>
      </c>
      <c r="B20" s="2" t="inlineStr">
        <is>
          <t>Home ACH 12000 hűtő-fűtő mobilklíma, hűtési / fűtési teljesítmény: 3,5 kW / 3,3 kW, Wifi, Smart, távirányító, ideális 26 m2 helyiséghez</t>
        </is>
      </c>
      <c r="C20" s="1" t="n">
        <v>188990.0</v>
      </c>
      <c r="D20" s="7" t="n">
        <f>HYPERLINK("https://www.somogyi.hu/product/home-ach-12000-huto-futo-mobilklima-hutesi-futesi-teljesitmeny-3-5-kw-3-3-kw-wifi-smart-taviranyito-idealis-26-m2-helyiseghez-ach-12000-18026","https://www.somogyi.hu/product/home-ach-12000-huto-futo-mobilklima-hutesi-futesi-teljesitmeny-3-5-kw-3-3-kw-wifi-smart-taviranyito-idealis-26-m2-helyiseghez-ach-12000-18026")</f>
        <v>0.0</v>
      </c>
      <c r="E20" s="7" t="n">
        <f>HYPERLINK("https://www.somogyi.hu/data/img/product_main_images/small/18026.jpg","https://www.somogyi.hu/data/img/product_main_images/small/18026.jpg")</f>
        <v>0.0</v>
      </c>
      <c r="F20" s="2" t="inlineStr">
        <is>
          <t>5999084960483</t>
        </is>
      </c>
      <c r="G20" s="4" t="inlineStr">
        <is>
          <t>Fedezze fel a frissesség és kényelem új dimenzióját a zárt légterek frissítésére és hűtésére szolgáló léghűtővel. Ez a készülék ideális választás azoknak, akik friss és kellemes levegőt szeretnének teremteni a helyiségben. A léghűtő működése a környezetbarát hideg víz elpárologtatásán alapul, ami friss és tiszta levegőt eredményez. A ventilátor sebessége három fokozatban állítható, a levegő eloszlását ki- és bekapcsolható forgó légterelő lamellák segítik.
A léghűtő érintőgombokkal vagy a mellékelt távirányítóval könnyedén vezérelhető. Emellett ionizátor funkcióval ellátott, mely segíti a levegő tisztaságának fenntartását. Használat során három ventilátor üzemmód közül választhat: normál, természetes szél és alvó üzemmód.
A léghűtő a beépített kerekek segítségével könnyen mozgatható, amelyek befékezhetők a stabil használat érdekében. A víztartály mérete 3 liter. A termékben a párologtató betét cserélhető, külön is megvásárolható LHP 800i/T típusszámon. A tartozék 2 db jégakku még hatékonyabb hűtést biztosít a kívánt hőmérséklet elérésének érdekében.
A léghűtő rendkívül csendes, hangteljesítményszintje mindössze 60 dB(A). A távirányítóhoz tápellátása 1x3 V (CR2025) gombelem, mely a csomag tartozéka. A tápkábel hossza 1,35 méter, a tápellátása 230 V~/50 Hz/80 W.</t>
        </is>
      </c>
    </row>
    <row r="21">
      <c r="A21" s="3" t="inlineStr">
        <is>
          <t>WSL 4</t>
        </is>
      </c>
      <c r="B21" s="2" t="inlineStr">
        <is>
          <t>Home WSL 4 ablakszigetelés mobil klímához, 4 m, minden bukó nyíló típusú ablakra felszerelhető, öntapadó tépőzár</t>
        </is>
      </c>
      <c r="C21" s="1" t="n">
        <v>10190.0</v>
      </c>
      <c r="D21" s="7" t="n">
        <f>HYPERLINK("https://www.somogyi.hu/product/home-wsl-4-ablakszigeteles-mobil-klimahoz-4-m-minden-buko-nyilo-tipusu-ablakra-felszerelheto-ontapado-tepozar-wsl-4-17704","https://www.somogyi.hu/product/home-wsl-4-ablakszigeteles-mobil-klimahoz-4-m-minden-buko-nyilo-tipusu-ablakra-felszerelheto-ontapado-tepozar-wsl-4-17704")</f>
        <v>0.0</v>
      </c>
      <c r="E21" s="7" t="n">
        <f>HYPERLINK("https://www.somogyi.hu/data/img/product_main_images/small/17704.jpg","https://www.somogyi.hu/data/img/product_main_images/small/17704.jpg")</f>
        <v>0.0</v>
      </c>
      <c r="F21" s="2" t="inlineStr">
        <is>
          <t>5999084957261</t>
        </is>
      </c>
      <c r="G21" s="4" t="inlineStr">
        <is>
          <t>A WSL 4 ablakszigetelés mobilklímához javasolt kiegészítés. A nyitott ablak mellett segít bent tartani a hideget és nem engedi be a meleg levegőt. A tépőzár segítségével egyszerűen felszerelhető minden bukó-, nyíló ablakra. A mobilklíma kifúvó tömlője cipzáron keresztül vezethető ki. 
Kiválóan használható ACM 9000 és ACM 12000 mobil klíma berendezésekhez.</t>
        </is>
      </c>
    </row>
    <row r="22">
      <c r="A22" s="6" t="inlineStr">
        <is>
          <t xml:space="preserve">   Hűtés / Párásító ventilátor</t>
        </is>
      </c>
      <c r="B22" s="6" t="inlineStr">
        <is>
          <t/>
        </is>
      </c>
      <c r="C22" s="6" t="inlineStr">
        <is>
          <t/>
        </is>
      </c>
      <c r="D22" s="6" t="inlineStr">
        <is>
          <t/>
        </is>
      </c>
      <c r="E22" s="6" t="inlineStr">
        <is>
          <t/>
        </is>
      </c>
      <c r="F22" s="6" t="inlineStr">
        <is>
          <t/>
        </is>
      </c>
      <c r="G22" s="6" t="inlineStr">
        <is>
          <t/>
        </is>
      </c>
    </row>
    <row r="23">
      <c r="A23" s="3" t="inlineStr">
        <is>
          <t>CMF 64/C</t>
        </is>
      </c>
      <c r="B23" s="2" t="inlineStr">
        <is>
          <t>Centrifugális párásító ventilátor</t>
        </is>
      </c>
      <c r="C23" s="1" t="n">
        <v>82090.0</v>
      </c>
      <c r="D23" s="7" t="n">
        <f>HYPERLINK("https://www.somogyi.hu/product/centrifugalis-parasito-ventilator-cmf-64-c-16757","https://www.somogyi.hu/product/centrifugalis-parasito-ventilator-cmf-64-c-16757")</f>
        <v>0.0</v>
      </c>
      <c r="E23" s="7" t="n">
        <f>HYPERLINK("https://www.somogyi.hu/data/img/product_main_images/small/16757.jpg","https://www.somogyi.hu/data/img/product_main_images/small/16757.jpg")</f>
        <v>0.0</v>
      </c>
      <c r="F23" s="2" t="inlineStr">
        <is>
          <t>5999084947897</t>
        </is>
      </c>
      <c r="G23" s="4" t="inlineStr">
        <is>
          <t>&lt;span style="color:red;"&gt;A CMF 64 típusú Centrifugális párásító ventilátor a nagy mérete miatt 3 csomagban kerül kiszállításra. 
(CMF 64/A, CMF 64/B, CMF 64/C)
Rendeléskor legyen kedves figyelembe venni, hogy a CMF 64/C kizárólag együttesen rendelhető a  CMF 64/A-val és CMF 64/B-vel.
Kérjük, rendeléskor mind a 3 termékrészt tegye bele a kosárba!&lt;/span&gt;</t>
        </is>
      </c>
    </row>
    <row r="24">
      <c r="A24" s="3" t="inlineStr">
        <is>
          <t>SFM 41/BK</t>
        </is>
      </c>
      <c r="B24" s="2" t="inlineStr">
        <is>
          <t>Home SFM 41/BK párásító ventilátor, 75 W, 3 literes víztartály, 3 fokozat, 75°-os oszcillálás, távirányító, fekete,</t>
        </is>
      </c>
      <c r="C24" s="1" t="n">
        <v>34190.0</v>
      </c>
      <c r="D24" s="7" t="n">
        <f>HYPERLINK("https://www.somogyi.hu/product/home-sfm-41-bk-parasito-ventilator-75-w-3-literes-viztartaly-3-fokozat-75-os-oszcillalas-taviranyito-fekete-sfm-41-bk-16765","https://www.somogyi.hu/product/home-sfm-41-bk-parasito-ventilator-75-w-3-literes-viztartaly-3-fokozat-75-os-oszcillalas-taviranyito-fekete-sfm-41-bk-16765")</f>
        <v>0.0</v>
      </c>
      <c r="E24" s="7" t="n">
        <f>HYPERLINK("https://www.somogyi.hu/data/img/product_main_images/small/16765.jpg","https://www.somogyi.hu/data/img/product_main_images/small/16765.jpg")</f>
        <v>0.0</v>
      </c>
      <c r="F24" s="2" t="inlineStr">
        <is>
          <t>5999084947972</t>
        </is>
      </c>
      <c r="G24" s="4" t="inlineStr">
        <is>
          <t>Az SFM 41/BK Párásító ventilátor számos extra funkciót egyesít. Kiválóan használható szabadtéri kávézókban, éttermekben, szórakozó helyeken vagy akár otthonában a teraszon. A ventilátor lapátátmérője 40 cm, a víztartály kapacitása 3,2 liter. A 3 fokozatban szabályozható ventilátor mellett vagy attól függetlenül kapcsolható rajta a párásítás. A fej dőlés szöge állítható. A 7,5 órás kikapcsolás időzítő kényelmes használatot biztosít. Nyomógombbal és távirányítóval egyaránt vezérelhető. Párásítási kapacitása óránként 200 ml. 
Ha a nyári kánikulában komfortos környezetet szeretne biztosítani vendégeinek vagy otthonában, válassza a SFM 41/BK párásító ventilátorunkat!</t>
        </is>
      </c>
    </row>
    <row r="25">
      <c r="A25" s="3" t="inlineStr">
        <is>
          <t>SFM 42/BK</t>
        </is>
      </c>
      <c r="B25" s="2" t="inlineStr">
        <is>
          <t>Párásító ventilátor, fekete, 40 cm, 90 W</t>
        </is>
      </c>
      <c r="C25" s="1" t="n">
        <v>60790.0</v>
      </c>
      <c r="D25" s="7" t="n">
        <f>HYPERLINK("https://www.somogyi.hu/product/parasito-ventilator-fekete-40-cm-90-w-sfm-42-bk-14423","https://www.somogyi.hu/product/parasito-ventilator-fekete-40-cm-90-w-sfm-42-bk-14423")</f>
        <v>0.0</v>
      </c>
      <c r="E25" s="7" t="n">
        <f>HYPERLINK("https://www.somogyi.hu/data/img/product_main_images/small/14423.jpg","https://www.somogyi.hu/data/img/product_main_images/small/14423.jpg")</f>
        <v>0.0</v>
      </c>
      <c r="F25" s="2" t="inlineStr">
        <is>
          <t>5999084924713</t>
        </is>
      </c>
      <c r="G25" s="4" t="inlineStr">
        <is>
          <t>Tengerparti érzés a nyári forróságban! Az SFM 42 párásító ventilátoraink számos extra funkciót egyesítenek! 
A 3 fokozatban állítható ventilátor mellett vagy attól függetlenül kapcsolható rajta a párásítás, ionizátor, rovarriasztó funkció.  Érintőpanellel és távirányítóval egyaránt vezérelhető.
A ventilátor módhoz pluszban még választható az oszcillálás (75°), természetes szél és éjszakai üzemmód is, illetve a 12 órás kikapcsolás időzítő. 
Válassza hűsítő ajánlatunkat, rendeljen webáruházunkból!</t>
        </is>
      </c>
    </row>
    <row r="26">
      <c r="A26" s="3" t="inlineStr">
        <is>
          <t>SFM43BK</t>
        </is>
      </c>
      <c r="B26" s="2" t="inlineStr">
        <is>
          <t>Home SFM43BK párásító ventilátor, 75 W, 40 cm névleges lapátátmérő, 3 lapát, 3 fokozat, oszcillálás, kikapcsolásidőzítés, 3 fokozatú párásítás, állítható dőlésszög</t>
        </is>
      </c>
      <c r="C26" s="1" t="n">
        <v>33690.0</v>
      </c>
      <c r="D26" s="7" t="n">
        <f>HYPERLINK("https://www.somogyi.hu/product/home-sfm43bk-parasito-ventilator-75-w-40-cm-nevleges-lapatatmero-3-lapat-3-fokozat-oszcillalas-kikapcsolasidozites-3-fokozatu-parasitas-allithato-dolesszog-sfm43bk-18377","https://www.somogyi.hu/product/home-sfm43bk-parasito-ventilator-75-w-40-cm-nevleges-lapatatmero-3-lapat-3-fokozat-oszcillalas-kikapcsolasidozites-3-fokozatu-parasitas-allithato-dolesszog-sfm43bk-18377")</f>
        <v>0.0</v>
      </c>
      <c r="E26" s="7" t="n">
        <f>HYPERLINK("https://www.somogyi.hu/data/img/product_main_images/small/18377.jpg","https://www.somogyi.hu/data/img/product_main_images/small/18377.jpg")</f>
        <v>0.0</v>
      </c>
      <c r="F26" s="2" t="inlineStr">
        <is>
          <t>5999084963958</t>
        </is>
      </c>
      <c r="G26" s="4" t="inlineStr">
        <is>
          <t>Gondolkodott már azon, hogyan varázsolhatná otthonát frissebbé és kényelmesebbé? 
A Home SFM43BK párásító ventilátorral ez könnyen megvalósítható. A 40 cm átmérőjű lapátokkal rendelkező ventilátor három sebességfokozattal, normál, természetes szél és éjszakai üzemmóddal biztosítja a szükséges hűsítést. Kényelmes irányítását elektronikus fóliagombok vagy a távirányító garantálja. A kapcsolható oszcillálás és az állítható fejdőlésszög még több rugalmasságot nyújt.
Ez a készülék nem csupán ventilátorként szolgál, hanem a 2,8 literes, felülről tölthető víztartályának köszönhetően párásítóként is funkcionál. A párásítás szintje három fokozatban állítható be, önállóan is használható, maximum 220 g/óra párásítási kapacitással. Az időzítő funkció lehetővé teszi a kikapcsolás beállítását 0,5-7,5 óra között, így éjszakára is tökéletes választás. A készülék könnyű mozgathatóságát a kerekek biztosítják. A távirányító működéséhez 2 db 1,5V-os (AAA) elem szükséges, amely nem része a csomagnak. A ventilátor tápellátása: 220-240V~ 50/60Hz, 75W.
Méretei (430x1270x400 mm) révén bármely szobában elfér. Változtassa otthonát frissítő oázissá a Home SFM43BK párásító ventilátorral!</t>
        </is>
      </c>
    </row>
    <row r="27">
      <c r="A27" s="3" t="inlineStr">
        <is>
          <t>CMF 64/A</t>
        </is>
      </c>
      <c r="B27" s="2" t="inlineStr">
        <is>
          <t>Centrifugális párásító ventilátor</t>
        </is>
      </c>
      <c r="C27" s="1" t="n">
        <v>18390.0</v>
      </c>
      <c r="D27" s="7" t="n">
        <f>HYPERLINK("https://www.somogyi.hu/product/centrifugalis-parasito-ventilator-cmf-64-a-16755","https://www.somogyi.hu/product/centrifugalis-parasito-ventilator-cmf-64-a-16755")</f>
        <v>0.0</v>
      </c>
      <c r="E27" s="7" t="n">
        <f>HYPERLINK("https://www.somogyi.hu/data/img/product_main_images/small/16755.jpg","https://www.somogyi.hu/data/img/product_main_images/small/16755.jpg")</f>
        <v>0.0</v>
      </c>
      <c r="F27" s="2" t="inlineStr">
        <is>
          <t>5999084947873</t>
        </is>
      </c>
      <c r="G27" s="4" t="inlineStr">
        <is>
          <t>&lt;span style="color:red;"&gt;A CMF 64 típusú Centrifugális párásító ventilátor a nagy mérete miatt 3 csomagban kerül kiszállításra. 
(CMF 64/A, CMF 64/B, CMF 64/C)
Rendeléskor legyen kedves figyelembe venni, hogy a CMF 64/A kizárólag együttesen rendelhető a  CMF 64/B-vel és CMF 64/C-vel.
Kérjük, rendeléskor mind a 3 termékrészt tegye bele a kosárba!&lt;/span&gt;</t>
        </is>
      </c>
    </row>
    <row r="28">
      <c r="A28" s="3" t="inlineStr">
        <is>
          <t>SFM 40/WH</t>
        </is>
      </c>
      <c r="B28" s="2" t="inlineStr">
        <is>
          <t>Home SFM 40/WH párásító ventilátor, 90 W, 3 fokozat, 3 literes víztartály, 75°-os oszcillálás, távirányító, fehér</t>
        </is>
      </c>
      <c r="C28" s="1" t="n">
        <v>48890.0</v>
      </c>
      <c r="D28" s="7" t="n">
        <f>HYPERLINK("https://www.somogyi.hu/product/home-sfm-40-wh-parasito-ventilator-90-w-3-fokozat-3-literes-viztartaly-75-os-oszcillalas-taviranyito-feher-sfm-40-wh-15135","https://www.somogyi.hu/product/home-sfm-40-wh-parasito-ventilator-90-w-3-fokozat-3-literes-viztartaly-75-os-oszcillalas-taviranyito-feher-sfm-40-wh-15135")</f>
        <v>0.0</v>
      </c>
      <c r="E28" s="7" t="n">
        <f>HYPERLINK("https://www.somogyi.hu/data/img/product_main_images/small/15135.jpg","https://www.somogyi.hu/data/img/product_main_images/small/15135.jpg")</f>
        <v>0.0</v>
      </c>
      <c r="F28" s="2" t="inlineStr">
        <is>
          <t>5999084931698</t>
        </is>
      </c>
      <c r="G28" s="4" t="inlineStr">
        <is>
          <t>Az SFM 40/WH Párásító ventilátor számos extra funkciót egyesít. Kiválóan használható szabadtéri kávézókban, éttermekben, szórakozó helyeken vagy akár otthonában a teraszon. A ventilátor lapátátmérője 40 cm a víztartály kapacitása 3 liter. A 3 fokozatban szabályozható ventilátor mellett vagy attól függetlenül kapcsolható rajta a párásítás. 75°oszcillálás üzemmód. A fej dőlés szöge állítható. A 7,5 órás kikapcsolás időzítő kényelmes használatot biztosít. Érintőpanellel és távirányítóval egyaránt vezérelhető. 
Ha a nyári kánikulában komfortos környezetet szeretne biztosítani vendégeinek vagy otthonában, válassza a SFM 40/WH párásító ventilátorunkat!</t>
        </is>
      </c>
    </row>
    <row r="29">
      <c r="A29" s="3" t="inlineStr">
        <is>
          <t>CMF 64/B</t>
        </is>
      </c>
      <c r="B29" s="2" t="inlineStr">
        <is>
          <t>Centrifugális párásító ventilátor</t>
        </is>
      </c>
      <c r="C29" s="1" t="n">
        <v>24990.0</v>
      </c>
      <c r="D29" s="7" t="n">
        <f>HYPERLINK("https://www.somogyi.hu/product/centrifugalis-parasito-ventilator-cmf-64-b-16756","https://www.somogyi.hu/product/centrifugalis-parasito-ventilator-cmf-64-b-16756")</f>
        <v>0.0</v>
      </c>
      <c r="E29" s="7" t="n">
        <f>HYPERLINK("https://www.somogyi.hu/data/img/product_main_images/small/16756.jpg","https://www.somogyi.hu/data/img/product_main_images/small/16756.jpg")</f>
        <v>0.0</v>
      </c>
      <c r="F29" s="2" t="inlineStr">
        <is>
          <t>5999084947880</t>
        </is>
      </c>
      <c r="G29" s="4" t="inlineStr">
        <is>
          <t>&lt;span style="color:red;"&gt;A CMF 64 típusú Centrifugális párásító ventilátor a nagy mérete miatt 3 csomagban kerül kiszállításra. 
(CMF 64/A, CMF 64/B, CMF 64/C)
Rendeléskor legyen kedves figyelembe venni,  hogy a CMF 64/B kizárólag együttesen rendelhető a CMF 64/A-val és CMF 64/C-vel.
Kérjük, rendeléskor mind a 3 termékrészt tegye bele a kosárba!&lt;/span&gt;</t>
        </is>
      </c>
    </row>
    <row r="30">
      <c r="A30" s="6" t="inlineStr">
        <is>
          <t xml:space="preserve">   Hűtés / Léghűtő</t>
        </is>
      </c>
      <c r="B30" s="6" t="inlineStr">
        <is>
          <t/>
        </is>
      </c>
      <c r="C30" s="6" t="inlineStr">
        <is>
          <t/>
        </is>
      </c>
      <c r="D30" s="6" t="inlineStr">
        <is>
          <t/>
        </is>
      </c>
      <c r="E30" s="6" t="inlineStr">
        <is>
          <t/>
        </is>
      </c>
      <c r="F30" s="6" t="inlineStr">
        <is>
          <t/>
        </is>
      </c>
      <c r="G30" s="6" t="inlineStr">
        <is>
          <t/>
        </is>
      </c>
    </row>
    <row r="31">
      <c r="A31" s="3" t="inlineStr">
        <is>
          <t>LH 5/T</t>
        </is>
      </c>
      <c r="B31" s="2" t="inlineStr">
        <is>
          <t>Home LH 5/T párásító betét LH 5 mini léghűtőhöz</t>
        </is>
      </c>
      <c r="C31" s="1" t="n">
        <v>1090.0</v>
      </c>
      <c r="D31" s="7" t="n">
        <f>HYPERLINK("https://www.somogyi.hu/product/home-lh-5-t-parasito-betet-lh-5-mini-leghutohoz-lh-5-t-17802","https://www.somogyi.hu/product/home-lh-5-t-parasito-betet-lh-5-mini-leghutohoz-lh-5-t-17802")</f>
        <v>0.0</v>
      </c>
      <c r="E31" s="7" t="n">
        <f>HYPERLINK("https://www.somogyi.hu/data/img/product_main_images/small/17802.jpg","https://www.somogyi.hu/data/img/product_main_images/small/17802.jpg")</f>
        <v>0.0</v>
      </c>
      <c r="F31" s="2" t="inlineStr">
        <is>
          <t>5999084958244</t>
        </is>
      </c>
      <c r="G31" s="4" t="inlineStr">
        <is>
          <t>Az LH 5/T párásító betét az LH 5 cikkszámú mini léghűtővel kompatibilis. A mini léghűtőben könnyedén cserélhető a párásító betét.</t>
        </is>
      </c>
    </row>
    <row r="32">
      <c r="A32" s="3" t="inlineStr">
        <is>
          <t>LH 5</t>
        </is>
      </c>
      <c r="B32" s="2" t="inlineStr">
        <is>
          <t>Home LH 5 mini léghűtő, evaporatív hűtési technológia, 5 W, 300 ml víztartály, 3 fokozat, párologtató betét</t>
        </is>
      </c>
      <c r="C32" s="1" t="n">
        <v>7190.0</v>
      </c>
      <c r="D32" s="7" t="n">
        <f>HYPERLINK("https://www.somogyi.hu/product/home-lh-5-mini-leghuto-evaporativ-hutesi-technologia-5-w-300-ml-viztartaly-3-fokozat-parologtato-betet-lh-5-17801","https://www.somogyi.hu/product/home-lh-5-mini-leghuto-evaporativ-hutesi-technologia-5-w-300-ml-viztartaly-3-fokozat-parologtato-betet-lh-5-17801")</f>
        <v>0.0</v>
      </c>
      <c r="E32" s="7" t="n">
        <f>HYPERLINK("https://www.somogyi.hu/data/img/product_main_images/small/17801.jpg","https://www.somogyi.hu/data/img/product_main_images/small/17801.jpg")</f>
        <v>0.0</v>
      </c>
      <c r="F32" s="2" t="inlineStr">
        <is>
          <t>5999084958237</t>
        </is>
      </c>
      <c r="G32" s="4" t="inlineStr">
        <is>
          <t>Az LH 5 mini léghűtő praktikus megoldás a nyári nagy melegben. Kis helyigénye által munkahelyi állomásokhoz, irodákban kiválóan használható. A ventilátor sebessége 3 fokozatban kapcsolható, a légterelő vízszintes vagy enyhén felfelé irányuló légáramra állítható. 
A mini léghűtő evaporatív hűtési technológia, azaz párologtatás elven működik. A 300 ml űrtartalmú víztartály egyszerűen feltölthető, a betekintő ablakon keresztül pedig látható a víz mennyisége. A párologtató betét könnyedén cserélhető, mely a weboldalunkon LH 5/T cikkszámon található meg. Tápellátása a tartozék USB- micro USB vezetékkel (USB 5V/ 5W) történik.</t>
        </is>
      </c>
    </row>
    <row r="33">
      <c r="A33" s="3" t="inlineStr">
        <is>
          <t>LH 300</t>
        </is>
      </c>
      <c r="B33" s="2" t="inlineStr">
        <is>
          <t>Home LH 300 léghűtő, 3 literes víztartály, 3 fokozat, párologtató betét, kereken gördíthető, 80 W</t>
        </is>
      </c>
      <c r="C33" s="1" t="n">
        <v>24190.0</v>
      </c>
      <c r="D33" s="7" t="n">
        <f>HYPERLINK("https://www.somogyi.hu/product/home-lh-300-leghuto-3-literes-viztartaly-3-fokozat-parologtato-betet-kereken-gorditheto-80-w-lh-300-14420","https://www.somogyi.hu/product/home-lh-300-leghuto-3-literes-viztartaly-3-fokozat-parologtato-betet-kereken-gorditheto-80-w-lh-300-14420")</f>
        <v>0.0</v>
      </c>
      <c r="E33" s="7" t="n">
        <f>HYPERLINK("https://www.somogyi.hu/data/img/product_main_images/small/14420.jpg","https://www.somogyi.hu/data/img/product_main_images/small/14420.jpg")</f>
        <v>0.0</v>
      </c>
      <c r="F33" s="2" t="inlineStr">
        <is>
          <t>5999084924683</t>
        </is>
      </c>
      <c r="G33" s="4" t="inlineStr">
        <is>
          <t>Az LH 300 Léghűtő zárt légterek frissítésére használható, így a nyári meleg sokkal elviselhetőbb lesz. A léghűtő hideg víz elpárologtatásával hűti le a rajta keresztüláramló levegőt, így friss, kellemes közérzetet biztosít. Működési elvéből következik, hogy a hőmérséklet jelentős csökkentésére nem alkalmas. A levegő sebességét 3 fokozatú ventilátor, eloszlatását légterelő lamellák biztosítják.
A párásító betét cserélhető, melyet LHP 300/T cikkszámon talál meg weboldalunkon. 
A jégakkukat tartozékként megtalálja a csomagban. 
Túl meleg van a szobában? Akkor a legegyszerűbb megoldás az LHP 300 léghűtő, amely felfrissíti a légteret Ön körül.</t>
        </is>
      </c>
    </row>
    <row r="34">
      <c r="A34" s="3" t="inlineStr">
        <is>
          <t>LHP 400/T</t>
        </is>
      </c>
      <c r="B34" s="2" t="inlineStr">
        <is>
          <t>Home LH 400/T párásító betét LH 400 léghűtőhöz</t>
        </is>
      </c>
      <c r="C34" s="1" t="n">
        <v>1650.0</v>
      </c>
      <c r="D34" s="7" t="n">
        <f>HYPERLINK("https://www.somogyi.hu/product/home-lh-400-t-parasito-betet-lh-400-leghutohoz-lhp-400-t-16342","https://www.somogyi.hu/product/home-lh-400-t-parasito-betet-lh-400-leghutohoz-lhp-400-t-16342")</f>
        <v>0.0</v>
      </c>
      <c r="E34" s="7" t="n">
        <f>HYPERLINK("https://www.somogyi.hu/data/img/product_main_images/small/16342.jpg","https://www.somogyi.hu/data/img/product_main_images/small/16342.jpg")</f>
        <v>0.0</v>
      </c>
      <c r="F34" s="2" t="inlineStr">
        <is>
          <t>5999084943745</t>
        </is>
      </c>
      <c r="G34" s="4" t="inlineStr">
        <is>
          <t>Az LHP 400/T Párásító betét az LHP 400 léghűtőhöz vásárolható meg. A párásító betét egyszerűen cserélhető a készülékben.</t>
        </is>
      </c>
    </row>
    <row r="35">
      <c r="A35" s="3" t="inlineStr">
        <is>
          <t>LHP 800i/T</t>
        </is>
      </c>
      <c r="B35" s="2" t="inlineStr">
        <is>
          <t>Home LHP 800i/T párásító betét LHP 800i léghűtőhöz</t>
        </is>
      </c>
      <c r="C35" s="1" t="n">
        <v>1990.0</v>
      </c>
      <c r="D35" s="7" t="n">
        <f>HYPERLINK("https://www.somogyi.hu/product/home-lhp-800i-t-parasito-betet-lhp-800i-leghutohoz-lhp-800i-t-17259","https://www.somogyi.hu/product/home-lhp-800i-t-parasito-betet-lhp-800i-leghutohoz-lhp-800i-t-17259")</f>
        <v>0.0</v>
      </c>
      <c r="E35" s="7" t="n">
        <f>HYPERLINK("https://www.somogyi.hu/data/img/product_main_images/small/17259.jpg","https://www.somogyi.hu/data/img/product_main_images/small/17259.jpg")</f>
        <v>0.0</v>
      </c>
      <c r="F35" s="2" t="inlineStr">
        <is>
          <t>5999084952815</t>
        </is>
      </c>
      <c r="G35" s="4" t="inlineStr">
        <is>
          <t>Az LHP 800i/T Párásító betét az LHP 800i léghűtőhöz vásárolható meg. A párologtató betét egyszerűen cserélhető a készülékben.</t>
        </is>
      </c>
    </row>
    <row r="36">
      <c r="A36" s="3" t="inlineStr">
        <is>
          <t>LHP 400</t>
        </is>
      </c>
      <c r="B36" s="2" t="inlineStr">
        <is>
          <t>Home LHP 400 léghűtő távirányítóval, 80 W, beépített víztartály, tartozék jégakkuk, párologtató betét, 3 fokozat</t>
        </is>
      </c>
      <c r="C36" s="1" t="n">
        <v>27990.0</v>
      </c>
      <c r="D36" s="7" t="n">
        <f>HYPERLINK("https://www.somogyi.hu/product/home-lhp-400-leghuto-taviranyitoval-80-w-beepitett-viztartaly-tartozek-jegakkuk-parologtato-betet-3-fokozat-lhp-400-16285","https://www.somogyi.hu/product/home-lhp-400-leghuto-taviranyitoval-80-w-beepitett-viztartaly-tartozek-jegakkuk-parologtato-betet-3-fokozat-lhp-400-16285")</f>
        <v>0.0</v>
      </c>
      <c r="E36" s="7" t="n">
        <f>HYPERLINK("https://www.somogyi.hu/data/img/product_main_images/small/16285.jpg","https://www.somogyi.hu/data/img/product_main_images/small/16285.jpg")</f>
        <v>0.0</v>
      </c>
      <c r="F36" s="2" t="inlineStr">
        <is>
          <t>5999084943172</t>
        </is>
      </c>
      <c r="G36" s="4" t="inlineStr">
        <is>
          <t>Az LHP 400 Léghűtő zárt légterek frissítésére használható, így a nyári meleg sokkal elviselhetőbb lesz. Hideg víz elpárologtatásával hűti le a rajta keresztüláramló levegőt, így friss, kellemes közérzetet biztosít. A készülék távirányítóval is vezérelhető a könnyű használat érdekében. 
A levegő sebességét 3 fokozatú ventilátor, eloszlatását légterelő lamellák biztosítják. A kikapcsolás időzítő a használó kényelmét szolgálja. 
A párásító betét cserélhető, melyet LHP 400/T cikkszámon talál meg weboldalunkon. 
Tartozékai a távirányító és a jégakkuk. 
Túl meleg van a szobában? Akkor a legegyszerűbb megoldás az LHP 400 léghűtő, amely felfrissíti a légteret Ön körül.</t>
        </is>
      </c>
    </row>
    <row r="37">
      <c r="A37" s="3" t="inlineStr">
        <is>
          <t>LHP 800i</t>
        </is>
      </c>
      <c r="B37" s="2" t="inlineStr">
        <is>
          <t>Home LHP 800i léghűtő távirányítóval, ionizátor, 80 W, 3 fokozat, tartozék jégakku, 3 literes víztatály</t>
        </is>
      </c>
      <c r="C37" s="1" t="n">
        <v>42890.0</v>
      </c>
      <c r="D37" s="7" t="n">
        <f>HYPERLINK("https://www.somogyi.hu/product/home-lhp-800i-leghuto-taviranyitoval-ionizator-80-w-3-fokozat-tartozek-jegakku-3-literes-viztataly-lhp-800i-17258","https://www.somogyi.hu/product/home-lhp-800i-leghuto-taviranyitoval-ionizator-80-w-3-fokozat-tartozek-jegakku-3-literes-viztataly-lhp-800i-17258")</f>
        <v>0.0</v>
      </c>
      <c r="E37" s="7" t="n">
        <f>HYPERLINK("https://www.somogyi.hu/data/img/product_main_images/small/17258.jpg","https://www.somogyi.hu/data/img/product_main_images/small/17258.jpg")</f>
        <v>0.0</v>
      </c>
      <c r="F37" s="2" t="inlineStr">
        <is>
          <t>5999084952808</t>
        </is>
      </c>
      <c r="G37" s="4" t="inlineStr">
        <is>
          <t xml:space="preserve"> • légterelés: van 
 • ventilátorfokozatok: 3 fokozatú 
 • víztartály mérete: 3 l 
 • cserélhető párologtatóbetét: cserélhető párologtató betét (LHP 800i/T) 
 • zajszint: 60 dB(A) 
 • teljesítmény: 80 W 
 • tápkábel hossza: 1,35 m 
 • tápellátás: 230 V~ / 50 Hz 
 • méret: 33,5 x 80,5 x 23,5 cm 
 • tömeg: 4,9 kg</t>
        </is>
      </c>
    </row>
    <row r="38">
      <c r="A38" s="3" t="inlineStr">
        <is>
          <t>LH 300/T</t>
        </is>
      </c>
      <c r="B38" s="2" t="inlineStr">
        <is>
          <t>Home LH 300/T párásító betét LH 300 léghűtőhöz</t>
        </is>
      </c>
      <c r="C38" s="1" t="n">
        <v>1550.0</v>
      </c>
      <c r="D38" s="7" t="n">
        <f>HYPERLINK("https://www.somogyi.hu/product/home-lh-300-t-parasito-betet-lh-300-leghutohoz-lh-300-t-14596","https://www.somogyi.hu/product/home-lh-300-t-parasito-betet-lh-300-leghutohoz-lh-300-t-14596")</f>
        <v>0.0</v>
      </c>
      <c r="E38" s="7" t="n">
        <f>HYPERLINK("https://www.somogyi.hu/data/img/product_main_images/small/14596.jpg","https://www.somogyi.hu/data/img/product_main_images/small/14596.jpg")</f>
        <v>0.0</v>
      </c>
      <c r="F38" s="2" t="inlineStr">
        <is>
          <t>5999084926380</t>
        </is>
      </c>
      <c r="G38" s="4" t="inlineStr">
        <is>
          <t>Az LHP 300/T Párásító betét az LHP 300 léghűtőhöz vásárolható meg. A párásító betét egyszerűen cserélhető a készülékben.</t>
        </is>
      </c>
    </row>
    <row r="39">
      <c r="A39" s="6" t="inlineStr">
        <is>
          <t xml:space="preserve">   Hűtés / Oszlopventilátor</t>
        </is>
      </c>
      <c r="B39" s="6" t="inlineStr">
        <is>
          <t/>
        </is>
      </c>
      <c r="C39" s="6" t="inlineStr">
        <is>
          <t/>
        </is>
      </c>
      <c r="D39" s="6" t="inlineStr">
        <is>
          <t/>
        </is>
      </c>
      <c r="E39" s="6" t="inlineStr">
        <is>
          <t/>
        </is>
      </c>
      <c r="F39" s="6" t="inlineStr">
        <is>
          <t/>
        </is>
      </c>
      <c r="G39" s="6" t="inlineStr">
        <is>
          <t/>
        </is>
      </c>
    </row>
    <row r="40">
      <c r="A40" s="3" t="inlineStr">
        <is>
          <t>TWFR 74</t>
        </is>
      </c>
      <c r="B40" s="2" t="inlineStr">
        <is>
          <t>Home TWFR 74 oszlopventilátor, 50 W, 74 cm, 3 fokozat, 75°-os oszcillálás, távirányító, fehér</t>
        </is>
      </c>
      <c r="C40" s="1" t="n">
        <v>15290.0</v>
      </c>
      <c r="D40" s="7" t="n">
        <f>HYPERLINK("https://www.somogyi.hu/product/home-twfr-74-oszlopventilator-50-w-74-cm-3-fokozat-75-os-oszcillalas-taviranyito-feher-twfr-74-15789","https://www.somogyi.hu/product/home-twfr-74-oszlopventilator-50-w-74-cm-3-fokozat-75-os-oszcillalas-taviranyito-feher-twfr-74-15789")</f>
        <v>0.0</v>
      </c>
      <c r="E40" s="7" t="n">
        <f>HYPERLINK("https://www.somogyi.hu/data/img/product_main_images/small/15789.jpg","https://www.somogyi.hu/data/img/product_main_images/small/15789.jpg")</f>
        <v>0.0</v>
      </c>
      <c r="F40" s="2" t="inlineStr">
        <is>
          <t>5999084938239</t>
        </is>
      </c>
      <c r="G40" s="4" t="inlineStr">
        <is>
          <t>Hűtse szobáját kis helyigényű oszlopventilátorokkal! Ez a 74 cm magas típus, nyomógombokkal és távirányítóval egyaránt vezérelhető. A normál üzemmód mellett még két féle választható: a természetes és alvó, amikor előre programozott érték alapján változik a ventilátor sebessége.
Normál üzemmódban a teljesítmény szabályozható (3 fokozat). A még kényelmesebb használat érdekében a kikapcsolás időzíthető és oszcilláló mozgás (75°) is kapcsolható rajta.
Válassza minőségi termékünket, rendeljen webáruházunkból!</t>
        </is>
      </c>
    </row>
    <row r="41">
      <c r="A41" s="3" t="inlineStr">
        <is>
          <t>TWFR 100</t>
        </is>
      </c>
      <c r="B41" s="2" t="inlineStr">
        <is>
          <t>Home TWFR 100 oszlopventilátor, 45 W, 100 cm, 3 fokozat, 85°-os oszcillálás, távirányító, fekete,</t>
        </is>
      </c>
      <c r="C41" s="1" t="n">
        <v>23690.0</v>
      </c>
      <c r="D41" s="7" t="n">
        <f>HYPERLINK("https://www.somogyi.hu/product/home-twfr-100-oszlopventilator-45-w-100-cm-3-fokozat-85-os-oszcillalas-taviranyito-fekete-twfr-100-17243","https://www.somogyi.hu/product/home-twfr-100-oszlopventilator-45-w-100-cm-3-fokozat-85-os-oszcillalas-taviranyito-fekete-twfr-100-17243")</f>
        <v>0.0</v>
      </c>
      <c r="E41" s="7" t="n">
        <f>HYPERLINK("https://www.somogyi.hu/data/img/product_main_images/small/17243.jpg","https://www.somogyi.hu/data/img/product_main_images/small/17243.jpg")</f>
        <v>0.0</v>
      </c>
      <c r="F41" s="2" t="inlineStr">
        <is>
          <t>5999084952679</t>
        </is>
      </c>
      <c r="G41" s="4" t="inlineStr">
        <is>
          <t>A TWFR 100 Oszlopventilátor kis helyigényének és magas kivitelének köszönhetően a legkisebb helységekben is elfér. Az oszlopventilátor 45 W teljesítményű, valamint 85° oszcillálás kapcsolható rajta. A 3 fokozatban szabályozható ventilátor teljesítmény mellett állítható normál, természetes szél vagy alvó üzemmódra. A 1-15 órás kikapcsolás időzítő kényelmes használatot biztosít.
Elektronikus nyomógombokkal és távirányítóval egyaránt vezérelhető. 
Hűtse le a meleg napokat a TWFR 100 Oszlopventilátorunkkal!</t>
        </is>
      </c>
    </row>
    <row r="42">
      <c r="A42" s="3" t="inlineStr">
        <is>
          <t>TWFR 120</t>
        </is>
      </c>
      <c r="B42" s="2" t="inlineStr">
        <is>
          <t>Home TWFR 120 oszlopventilátor, 50 W, 120 cm, 3 fokozat, 75°-os oszcillálás, távirányító, világító kijelző, fehér</t>
        </is>
      </c>
      <c r="C42" s="1" t="n">
        <v>37690.0</v>
      </c>
      <c r="D42" s="7" t="n">
        <f>HYPERLINK("https://www.somogyi.hu/product/home-twfr-120-oszlopventilator-50-w-120-cm-3-fokozat-75-os-oszcillalas-taviranyito-vilagito-kijelzo-feher-twfr-120-15769","https://www.somogyi.hu/product/home-twfr-120-oszlopventilator-50-w-120-cm-3-fokozat-75-os-oszcillalas-taviranyito-vilagito-kijelzo-feher-twfr-120-15769")</f>
        <v>0.0</v>
      </c>
      <c r="E42" s="7" t="n">
        <f>HYPERLINK("https://www.somogyi.hu/data/img/product_main_images/small/15769.jpg","https://www.somogyi.hu/data/img/product_main_images/small/15769.jpg")</f>
        <v>0.0</v>
      </c>
      <c r="F42" s="2" t="inlineStr">
        <is>
          <t>5999084938031</t>
        </is>
      </c>
      <c r="G42" s="4" t="inlineStr">
        <is>
          <t>A nyári melegben, az Ön kényelméért! Ez a 120 cm magas oszlopventilátor hasznos segítség szobájának hűtésében. Világító, kék kijelzővel rendelkezik, melyen nyomon követhetők a beállítások és  a helyiség hőmérséklete is. Érintőpanellel és távirányítóval is vezérelhető.
Normál, természetes és alvó üzemmódban működtethető, teljesítménye 3 fokozatban állítható. Működése és kikapcsolása időzíthető. Külön kapcsolható rajta a 75°-ban oszcilláló mozgás.
Válassza kitűnő minőségű termékünket és rendeljen webáruházunkból!</t>
        </is>
      </c>
    </row>
    <row r="43">
      <c r="A43" s="3" t="inlineStr">
        <is>
          <t>TWF 821</t>
        </is>
      </c>
      <c r="B43" s="2" t="inlineStr">
        <is>
          <t>Home TWF 821 oszlopventilátor, 40 W, 82 cm, 3 fokozat, 85°-os oszcillálás, fehér</t>
        </is>
      </c>
      <c r="C43" s="1" t="n">
        <v>12590.0</v>
      </c>
      <c r="D43" s="7" t="n">
        <f>HYPERLINK("https://www.somogyi.hu/product/home-twf-821-oszlopventilator-40-w-82-cm-3-fokozat-85-os-oszcillalas-feher-twf-821-18014","https://www.somogyi.hu/product/home-twf-821-oszlopventilator-40-w-82-cm-3-fokozat-85-os-oszcillalas-feher-twf-821-18014")</f>
        <v>0.0</v>
      </c>
      <c r="E43" s="7" t="n">
        <f>HYPERLINK("https://www.somogyi.hu/data/img/product_main_images/small/18014.jpg","https://www.somogyi.hu/data/img/product_main_images/small/18014.jpg")</f>
        <v>0.0</v>
      </c>
      <c r="F43" s="2" t="inlineStr">
        <is>
          <t>5999084960360</t>
        </is>
      </c>
      <c r="G43" s="4" t="inlineStr">
        <is>
          <t>A TWF 821 Oszlopventilátor kis helyigényének és magas kivitelének köszönhetően a legkisebb helységekben is elfér. Az oszlopventilátor 40 W teljesítményű, valamint 85° oszcillálás kapcsolható rajta. A ventilátor teljesítmény 3 fokozatban szabályozható a forgatógomb segítségével. 
Hűtse le a meleg napokat a TWF 821 Oszlopventilátorunkkal!</t>
        </is>
      </c>
    </row>
    <row r="44">
      <c r="A44" s="3" t="inlineStr">
        <is>
          <t>TWFR 90</t>
        </is>
      </c>
      <c r="B44" s="2" t="inlineStr">
        <is>
          <t>Home TWFR 90 oszlopventilátor, 60 W, 90 cm,  3 fokozat, oszcillálás, távirányító, fehér</t>
        </is>
      </c>
      <c r="C44" s="1" t="n">
        <v>20990.0</v>
      </c>
      <c r="D44" s="7" t="n">
        <f>HYPERLINK("https://www.somogyi.hu/product/home-twfr-90-oszlopventilator-60-w-90-cm-3-fokozat-oszcillalas-taviranyito-feher-twfr-90-18018","https://www.somogyi.hu/product/home-twfr-90-oszlopventilator-60-w-90-cm-3-fokozat-oszcillalas-taviranyito-feher-twfr-90-18018")</f>
        <v>0.0</v>
      </c>
      <c r="E44" s="7" t="n">
        <f>HYPERLINK("https://www.somogyi.hu/data/img/product_main_images/small/18018.jpg","https://www.somogyi.hu/data/img/product_main_images/small/18018.jpg")</f>
        <v>0.0</v>
      </c>
      <c r="F44" s="2" t="inlineStr">
        <is>
          <t>5999084960407</t>
        </is>
      </c>
      <c r="G44" s="4" t="inlineStr">
        <is>
          <t>A TWFR 90 Oszlopventilátor minimalista megjelenésének köszönhetően észrevétlenül biztosítja otthona hűtését. Az oszlopventilátor 60 W teljesítményű. Normál üzemmódban 3 fokozatban szabályozható a ventilátor teljesítménye, emellett kiválasztható a természetes szél vagy éjszakai üzemmód. A 1-8 órás kikapcsolás időzítő kényelmes használatot biztosít. Érintőgombokkal és távirányítóval egyaránt vezérelhető. Nagy méretű kijelzőjén a beállított értékek kényelmesen leolvashatóak. Hűtse le a meleg napokat a TWFR 90 oszlopventilátorunkkal!</t>
        </is>
      </c>
    </row>
    <row r="45">
      <c r="A45" s="3" t="inlineStr">
        <is>
          <t>TWFR 110</t>
        </is>
      </c>
      <c r="B45" s="2" t="inlineStr">
        <is>
          <t>Home TWFR 110 oszlopventilátor, 45 W, 110 cm, 3 fokozat, 50°-os oszcillálás, távirányító, fehér</t>
        </is>
      </c>
      <c r="C45" s="1" t="n">
        <v>31790.0</v>
      </c>
      <c r="D45" s="7" t="n">
        <f>HYPERLINK("https://www.somogyi.hu/product/home-twfr-110-oszlopventilator-45-w-110-cm-3-fokozat-50-os-oszcillalas-taviranyito-feher-twfr-110-16746","https://www.somogyi.hu/product/home-twfr-110-oszlopventilator-45-w-110-cm-3-fokozat-50-os-oszcillalas-taviranyito-feher-twfr-110-16746")</f>
        <v>0.0</v>
      </c>
      <c r="E45" s="7" t="n">
        <f>HYPERLINK("https://www.somogyi.hu/data/img/product_main_images/small/16746.jpg","https://www.somogyi.hu/data/img/product_main_images/small/16746.jpg")</f>
        <v>0.0</v>
      </c>
      <c r="F45" s="2" t="inlineStr">
        <is>
          <t>5999084947781</t>
        </is>
      </c>
      <c r="G45" s="4" t="inlineStr">
        <is>
          <t>A TWFR 110 Oszlopventilátor elegáns, modern kinézetével akár szobája dísze lehet. Kis helyigényének és magas kivitelének köszönhetően a legkisebb helységekben is elfér. Az oszlopventilátor 50 W teljesítményű, valamint 50° oszcillálás kapcsolható rajta. A 3 fokozatban szabályozható ventilátor teljesítmény mellett állítható normál, természetes vagy alvó üzemmódra. Az 1-15 órás kikapcsolás időzítő kényelmes használatot biztosít.
Érintőpanellel és távirányítóval egyaránt vezérelhető. 
Hűtse le a meleg napokat a TWFR 110 Oszlopventilátorunkkal!</t>
        </is>
      </c>
    </row>
    <row r="46">
      <c r="A46" s="6" t="inlineStr">
        <is>
          <t xml:space="preserve">   Hűtés / Állóventilátor</t>
        </is>
      </c>
      <c r="B46" s="6" t="inlineStr">
        <is>
          <t/>
        </is>
      </c>
      <c r="C46" s="6" t="inlineStr">
        <is>
          <t/>
        </is>
      </c>
      <c r="D46" s="6" t="inlineStr">
        <is>
          <t/>
        </is>
      </c>
      <c r="E46" s="6" t="inlineStr">
        <is>
          <t/>
        </is>
      </c>
      <c r="F46" s="6" t="inlineStr">
        <is>
          <t/>
        </is>
      </c>
      <c r="G46" s="6" t="inlineStr">
        <is>
          <t/>
        </is>
      </c>
    </row>
    <row r="47">
      <c r="A47" s="3" t="inlineStr">
        <is>
          <t>SFR 20</t>
        </is>
      </c>
      <c r="B47" s="2" t="inlineStr">
        <is>
          <t>Home SFR 20 álló ventilátor, 50 W, 3 fokozat, 20 cm-es lapátátmérő, 70°-os oszcillálás, állítható fej, fehér LED kijelző, távirányító, fehér</t>
        </is>
      </c>
      <c r="C47" s="1" t="n">
        <v>23790.0</v>
      </c>
      <c r="D47" s="7" t="n">
        <f>HYPERLINK("https://www.somogyi.hu/product/home-sfr-20-allo-ventilator-50-w-3-fokozat-20-cm-es-lapatatmero-70-os-oszcillalas-allithato-fej-feher-led-kijelzo-taviranyito-feher-sfr-20-17239","https://www.somogyi.hu/product/home-sfr-20-allo-ventilator-50-w-3-fokozat-20-cm-es-lapatatmero-70-os-oszcillalas-allithato-fej-feher-led-kijelzo-taviranyito-feher-sfr-20-17239")</f>
        <v>0.0</v>
      </c>
      <c r="E47" s="7" t="n">
        <f>HYPERLINK("https://www.somogyi.hu/data/img/product_main_images/small/17239.jpg","https://www.somogyi.hu/data/img/product_main_images/small/17239.jpg")</f>
        <v>0.0</v>
      </c>
      <c r="F47" s="2" t="inlineStr">
        <is>
          <t>5999084952631</t>
        </is>
      </c>
      <c r="G47" s="4" t="inlineStr">
        <is>
          <t>Az álló ventilátor a nyári kánikula elengedhetetlen kellékévé válhat lakásunknak, irodánknak munka és pihenés közben egyaránt.
A fej manuálisan, vízszintestől akár teljesen függőleges helyzetbe is hozható, így tetszés szerinti szögben állítható a légáram iránya.
A készüléket vezérelhetjük a távirányítón keresztül és az érintőpanelen egyaránt.
3 sebességfokozat közül választhat, normál, természetes szél és éjszakai üzemmódban.
Az oszcillálás 70 fokkal jobbra és balra irányítható. A kikapcsolást időzíthetjük 1 és 15 órás intervallumban.</t>
        </is>
      </c>
    </row>
    <row r="48">
      <c r="A48" s="3" t="inlineStr">
        <is>
          <t>SFT40R</t>
        </is>
      </c>
      <c r="B48" s="2" t="inlineStr">
        <is>
          <t>Home SFT40R állóventilátor 3in1, 60 W, 40 cm névleges lapátátmérő, 5 lapát, 4 fokozat, erintőgomb, távirányító, állítható magasság és dőlésszög, LED kijelző</t>
        </is>
      </c>
      <c r="C48" s="1" t="n">
        <v>24990.0</v>
      </c>
      <c r="D48" s="7" t="n">
        <f>HYPERLINK("https://www.somogyi.hu/product/home-sft40r-alloventilator-3in1-60-w-40-cm-nevleges-lapatatmero-5-lapat-4-fokozat-erintogomb-taviranyito-allithato-magassag-es-dolesszog-led-kijelzo-sft40r-18403","https://www.somogyi.hu/product/home-sft40r-alloventilator-3in1-60-w-40-cm-nevleges-lapatatmero-5-lapat-4-fokozat-erintogomb-taviranyito-allithato-magassag-es-dolesszog-led-kijelzo-sft40r-18403")</f>
        <v>0.0</v>
      </c>
      <c r="E48" s="7" t="n">
        <f>HYPERLINK("https://www.somogyi.hu/data/img/product_main_images/small/18403.jpg","https://www.somogyi.hu/data/img/product_main_images/small/18403.jpg")</f>
        <v>0.0</v>
      </c>
      <c r="F48" s="2" t="inlineStr">
        <is>
          <t>5999084964214</t>
        </is>
      </c>
      <c r="G48" s="4" t="inlineStr">
        <is>
          <t>Fedezze fel a nyári hőség leküzdésének modern módját a Home SFT40R állóventilátorral! 
Ez a kifinomult készülék 40 cm-es lapátátmérővel és öt átlátszó ventilátorlapáttal rendelkezik, amelyek hatékonyan mozgatják a levegőt.
Az intuitív érintőgombok és a mellékelt távirányító révén könnyedén irányíthatja a ventilátort kényelmesen, akár a kanapéjáról is. A ventilátor magassága háromféleképpen állítható be (78, 105, 132 cm), így minden helyzetben megfelelő légáramlást biztosít. Az állítható fejdőlésszög további rugalmasságot nyújt.
A modern fehér LED kijelző kikapcsolható, így a sötétben sem zavarja a fénye. A négy sebességfokozat mellett az éjszakai funkció is rendelkezésre áll, amely alacsony zajszintű légáramlást biztosít. A kapcsolható oszcillálás széles területre biztosít friss levegőt, míg a kikapcsolásidőzítővel 1-9 óra közötti időtartamra programozható.
A távirányító CR2025 gombelemmel működik, amely a csomag része. A 220-240V~ 50-60Hz 60W tápellátással rendelkező ventilátor méretei: 46x(78/105/132)x40 cm. Hűsítse otthonát stílusosan a Home SFT40R állóventilátorral!</t>
        </is>
      </c>
    </row>
    <row r="49">
      <c r="A49" s="3" t="inlineStr">
        <is>
          <t>SF45</t>
        </is>
      </c>
      <c r="B49" s="2" t="inlineStr">
        <is>
          <t>Home SF45 álló fém ventilátor, 60 W, 45 cm névleges lapátátmérő, 4 lapát, 3 fokozat, oszcillálás, állítható magasság és dőlésszög</t>
        </is>
      </c>
      <c r="C49" s="1" t="n">
        <v>30190.0</v>
      </c>
      <c r="D49" s="7" t="n">
        <f>HYPERLINK("https://www.somogyi.hu/product/home-sf45-allo-fem-ventilator-60-w-45-cm-nevleges-lapatatmero-4-lapat-3-fokozat-oszcillalas-allithato-magassag-es-dolesszog-sf45-18379","https://www.somogyi.hu/product/home-sf45-allo-fem-ventilator-60-w-45-cm-nevleges-lapatatmero-4-lapat-3-fokozat-oszcillalas-allithato-magassag-es-dolesszog-sf45-18379")</f>
        <v>0.0</v>
      </c>
      <c r="E49" s="7" t="n">
        <f>HYPERLINK("https://www.somogyi.hu/data/img/product_main_images/small/18379.jpg","https://www.somogyi.hu/data/img/product_main_images/small/18379.jpg")</f>
        <v>0.0</v>
      </c>
      <c r="F49" s="2" t="inlineStr">
        <is>
          <t>5999084963972</t>
        </is>
      </c>
      <c r="G49" s="4" t="inlineStr">
        <is>
          <t>Egy elegáns, mégis hatékony megoldást keres a nyári hőség leküzdésére? 
A Home SF45 álló fém ventilátor tökéletes választás lehet! A 45 cm-es lapátátmérővel és a négy ventilátorlapáttal rendelkező készülék hatékonyan hűti le a teret, miközben a három sebességfokozatnak köszönhetően minden igényre szabható.
A matt fekete kivitel eleganciát kölcsönöz a ventilátornak, amely tökéletesen illeszkedik modern és klasszikus enteriőrökbe egyaránt. A három famintázatú, becsukható láb stabil alapot biztosít, így a ventilátor könnyen mozgatható és tárolható. A mechanikus vezérlés egyszerű és intuitív használatot tesz lehetővé.
Az állítható magasság (114-134 cm) és dőlésszög lehetővé teszik, hogy pontosan a kívánt irányba irányítsa a légáramot. A ventilátor 220-240V~ 50Hz 60W tápellátású, így gazdaságosan üzemeltethető. Tegyen a hűvös, friss levegőért a Home SF45 álló fém ventilátorral, amely nemcsak praktikus, de stílusos kiegészítője is lehet otthonának!</t>
        </is>
      </c>
    </row>
    <row r="50">
      <c r="A50" s="3" t="inlineStr">
        <is>
          <t>SFS 40</t>
        </is>
      </c>
      <c r="B50" s="2" t="inlineStr">
        <is>
          <t>Home SFS 40 álló fém ventilátor, 50 W, 3 fokozat, 40 cm-es lapátátmérő, fém lapátok, 85°-os oszcillálás</t>
        </is>
      </c>
      <c r="C50" s="1" t="n">
        <v>27490.0</v>
      </c>
      <c r="D50" s="7" t="n">
        <f>HYPERLINK("https://www.somogyi.hu/product/home-sfs-40-allo-fem-ventilator-50-w-3-fokozat-40-cm-es-lapatatmero-fem-lapatok-85-os-oszcillalas-sfs-40-15139","https://www.somogyi.hu/product/home-sfs-40-allo-fem-ventilator-50-w-3-fokozat-40-cm-es-lapatatmero-fem-lapatok-85-os-oszcillalas-sfs-40-15139")</f>
        <v>0.0</v>
      </c>
      <c r="E50" s="7" t="n">
        <f>HYPERLINK("https://www.somogyi.hu/data/img/product_main_images/small/15139.jpg","https://www.somogyi.hu/data/img/product_main_images/small/15139.jpg")</f>
        <v>0.0</v>
      </c>
      <c r="F50" s="2" t="inlineStr">
        <is>
          <t>5999084931735</t>
        </is>
      </c>
      <c r="G50" s="4" t="inlineStr">
        <is>
          <t>A ventilátorok nagy segítséget nyújtanak az olyan belső helyiségekben, ahol csekély a légmozgás. Segítségükkel a kevésbé levegős, valamint fülledt  helyiségekben is könnyedén javíthatunk a komfortérzetünkön. 
Az SFS 40 álló fém ventilátor  számos praktikus tulajdonsággal rendelkezik. Dizájnos fém lapátokkal lett ellátva, így külseje jól passzol az otthoni és irodai közeghez egyaránt.
Magasságát akár 120 cm-re is állíthatjuk. Lapátátmérője összesen: 40 cm. 
A ventilátor teljesítményének szabályozása során három fokozat közül választhatunk. A terméken állítható a fejdőlésszög, illetve bekapcsolható az oszcillálás, amely 85°-os mozgást végez.
Az eszköz mérete: 40 x 120 cm. A tápkábel hossza: 1,6 m. Válassza a minőségi termékeket és rendeljen webáruházunkból!</t>
        </is>
      </c>
    </row>
    <row r="51">
      <c r="A51" s="3" t="inlineStr">
        <is>
          <t>SFR88DC</t>
        </is>
      </c>
      <c r="B51" s="2" t="inlineStr">
        <is>
          <t>Home SFR88DC állványos ventilátor, 50 W, 18 cm névleges lapátátmérő, DC motor, 12 fokozat, 3 üzemmód, 3 dőlésszög, kapcsolható oszcillálás, időzítő</t>
        </is>
      </c>
      <c r="C51" s="1" t="n">
        <v>29390.0</v>
      </c>
      <c r="D51" s="7" t="n">
        <f>HYPERLINK("https://www.somogyi.hu/product/home-sfr88dc-allvanyos-ventilator-50-w-18-cm-nevleges-lapatatmero-dc-motor-12-fokozat-3-uzemmod-3-dolesszog-kapcsolhato-oszcillalas-idozito-sfr88dc-18378","https://www.somogyi.hu/product/home-sfr88dc-allvanyos-ventilator-50-w-18-cm-nevleges-lapatatmero-dc-motor-12-fokozat-3-uzemmod-3-dolesszog-kapcsolhato-oszcillalas-idozito-sfr88dc-18378")</f>
        <v>0.0</v>
      </c>
      <c r="E51" s="7" t="n">
        <f>HYPERLINK("https://www.somogyi.hu/data/img/product_main_images/small/18378.jpg","https://www.somogyi.hu/data/img/product_main_images/small/18378.jpg")</f>
        <v>0.0</v>
      </c>
      <c r="F51" s="2" t="inlineStr">
        <is>
          <t>5999084963965</t>
        </is>
      </c>
      <c r="G51" s="4" t="inlineStr">
        <is>
          <t>Kíváncsi arra, hogyan hűtheti le otthonát stílusosan és hatékonyan? 
A Home SFR88DC állványos ventilátor tökéletes választás lehet. Ez a készülék 18 cm-es lapátátmérővel és egy rendkívül hatékony DC motorral rendelkezik, amely 12 különböző sebességfokozatot kínál. Az állványos ventilátor két magasságban használható (970 mm és 695 mm), így tökéletesen alkalmazkodik különböző helyiségekhez és szükségletekhez.
A ventilátor többféle üzemmóddal is rendelkezik: normál, természetes szél és alvás üzemmódok, amelyek különböző egyéni szükségletekre lettek tervezve. A fejdőlésszög 30°, 60°, és 90° között állítható be, így pontosan irányíthatja a légáramlást. A ventilátor rendelkezik kapcsolható vízszintes és / vagy függőleges oszcillálási funkcióval is, ami még nagyobb kényelmet biztosít. Az időzítő funkció lehetővé teszi a be- vagy kikapcsolás beállítását 1-15 órás intervallumban, így éjszakára is tökéletes választás.
A ventilátor távirányítóval is vezérelhető, amelynek tápellátása 2 db 1,5V-os (AAA) elemmel működik, amit a csomag nem tartalmaz. A készülék tápellátása 220-240V~ 50-60Hz 50W. Méretei révén ideális választás otthoni vagy irodai használatra. Hűtse le otthonát a Home SFR88DC állványos ventilátorral és élvezze a friss levegőt!</t>
        </is>
      </c>
    </row>
    <row r="52">
      <c r="A52" s="3" t="inlineStr">
        <is>
          <t>SFP 42</t>
        </is>
      </c>
      <c r="B52" s="2" t="inlineStr">
        <is>
          <t>Home SFP 42 álló ventilátor, 40 W, 3 fokozat, 40 cm-es lapátátmérő, oszcillálás, LED visszajelző, távirányító, fehér</t>
        </is>
      </c>
      <c r="C52" s="1" t="n">
        <v>15890.0</v>
      </c>
      <c r="D52" s="7" t="n">
        <f>HYPERLINK("https://www.somogyi.hu/product/home-sfp-42-allo-ventilator-40-w-3-fokozat-40-cm-es-lapatatmero-oszcillalas-led-visszajelzo-taviranyito-feher-sfp-42-18017","https://www.somogyi.hu/product/home-sfp-42-allo-ventilator-40-w-3-fokozat-40-cm-es-lapatatmero-oszcillalas-led-visszajelzo-taviranyito-feher-sfp-42-18017")</f>
        <v>0.0</v>
      </c>
      <c r="E52" s="7" t="n">
        <f>HYPERLINK("https://www.somogyi.hu/data/img/product_main_images/small/18017.jpg","https://www.somogyi.hu/data/img/product_main_images/small/18017.jpg")</f>
        <v>0.0</v>
      </c>
      <c r="F52" s="2" t="inlineStr">
        <is>
          <t>5999084960391</t>
        </is>
      </c>
      <c r="G52" s="4" t="inlineStr">
        <is>
          <t xml:space="preserve"> • névleges lapátátmérő: 40 cm 
 • lapát anyaga: műanyag 
 • állítható fejdőlésszög: igen 
 • állítható magasság: 109 cm – 129 cm 
 • szélfunkció: normál, természetes szél és éjszakai üzemmód 
 • távirányító: van 
 • oszcillálás: van (csak távirányítóról kapcsolható) 
 • kikapcsolásidőzítés: van: 0,5–7,5 óra 
 • ventilátorfokozatok: 3 
 • teljesítmény: 40 W 
 • zajszint: LWA=53,6 dB(A) 
 • légtömegáram: maximális ventilátor-légtömegáram:F = 56,4 m3 / min 
 • légsebesség: legnagyobb légsebesség: c = 2,5 m/sec 
 • tápellátás: 220-240 V~ / 50 Hz 
 • távirányító tápellátása: 1 x 3 V (CR2025) gombelem, tartozék 
 • méret: Ø42 x 129 cm 
 • szín: fehér</t>
        </is>
      </c>
    </row>
    <row r="53">
      <c r="A53" s="3" t="inlineStr">
        <is>
          <t>SFI 45</t>
        </is>
      </c>
      <c r="B53" s="2" t="inlineStr">
        <is>
          <t>Home SFI 45 álló fém ventilátor, 100 W, 3 fokozat, 45 cm-es lapátátmérő, állítható fejdőlésszög, fém lapát</t>
        </is>
      </c>
      <c r="C53" s="1" t="n">
        <v>25390.0</v>
      </c>
      <c r="D53" s="7" t="n">
        <f>HYPERLINK("https://www.somogyi.hu/product/home-sfi-45-allo-fem-ventilator-100-w-3-fokozat-45-cm-es-lapatatmero-allithato-fejdolesszog-fem-lapat-sfi-45-13339","https://www.somogyi.hu/product/home-sfi-45-allo-fem-ventilator-100-w-3-fokozat-45-cm-es-lapatatmero-allithato-fejdolesszog-fem-lapat-sfi-45-13339")</f>
        <v>0.0</v>
      </c>
      <c r="E53" s="7" t="n">
        <f>HYPERLINK("https://www.somogyi.hu/data/img/product_main_images/small/13339.jpg","https://www.somogyi.hu/data/img/product_main_images/small/13339.jpg")</f>
        <v>0.0</v>
      </c>
      <c r="F53" s="2" t="inlineStr">
        <is>
          <t>5999084914257</t>
        </is>
      </c>
      <c r="G53" s="4" t="inlineStr">
        <is>
          <t>A tikkasztó nyári melegben a nagy helyiségek szellőztetésében kiváló segítség az SFI 45 típusú állóventilátor. Számos előnyös tulajdonságot egyesít ez a termék, mely masszív fém ráccsal és fém lapátokkal rendelkezik. Ezek átmérője 45 cm. Így nagy légtömegeket tud megmozgatni, 3 féle sebességgel. A magassága és a fejrész dőlésszöge is állítható. 
Válassza minőségi termékünket, rendeljen webáruházunkból!</t>
        </is>
      </c>
    </row>
    <row r="54">
      <c r="A54" s="3" t="inlineStr">
        <is>
          <t>SFR 40 3D</t>
        </is>
      </c>
      <c r="B54" s="2" t="inlineStr">
        <is>
          <t>Home SFR 40 3D álló ventilátor, 60 W, 3 fokozat, 40 cm-es lapátátmérő, 3D-s oszcillálás, távirányító, átlátszó lapát, LED kijelző, fehér</t>
        </is>
      </c>
      <c r="C54" s="1" t="n">
        <v>41590.0</v>
      </c>
      <c r="D54" s="7" t="n">
        <f>HYPERLINK("https://www.somogyi.hu/product/home-sfr-40-3d-allo-ventilator-60-w-3-fokozat-40-cm-es-lapatatmero-3d-s-oszcillalas-taviranyito-atlatszo-lapat-led-kijelzo-feher-sfr-40-3d-16745","https://www.somogyi.hu/product/home-sfr-40-3d-allo-ventilator-60-w-3-fokozat-40-cm-es-lapatatmero-3d-s-oszcillalas-taviranyito-atlatszo-lapat-led-kijelzo-feher-sfr-40-3d-16745")</f>
        <v>0.0</v>
      </c>
      <c r="E54" s="7" t="n">
        <f>HYPERLINK("https://www.somogyi.hu/data/img/product_main_images/small/16745.jpg","https://www.somogyi.hu/data/img/product_main_images/small/16745.jpg")</f>
        <v>0.0</v>
      </c>
      <c r="F54" s="2" t="inlineStr">
        <is>
          <t>5999084947774</t>
        </is>
      </c>
      <c r="G54" s="4" t="inlineStr">
        <is>
          <t>Az SFR 40 3D Álló ventilátor állítható vízszintes, függőleges vagy akár 3D oszcillálásra, így képes a helyiség teljes területén a levegő átmozgatására. A 3 fokozatban szabályozható ventilátor teljesítmény mellett normál, természetes vagy alvó üzemmód választható. A 12 órás kikapcsolás időzítő kényelmes használatot biztosít. Az álló ventilátor magassága 115- 130 cm között alakítható.
Nyomógombbal és távirányítóval egyaránt vezérelhető. 
Hűtse le a meleg napokat az SFR 40 3D oszcillálós álló ventilátorunkkal!</t>
        </is>
      </c>
    </row>
    <row r="55">
      <c r="A55" s="3" t="inlineStr">
        <is>
          <t>SFP 40</t>
        </is>
      </c>
      <c r="B55" s="2" t="inlineStr">
        <is>
          <t>Állványos ventilátor távirányítóval, 40cm, 45W</t>
        </is>
      </c>
      <c r="C55" s="1" t="n">
        <v>18390.0</v>
      </c>
      <c r="D55" s="7" t="n">
        <f>HYPERLINK("https://www.somogyi.hu/product/allvanyos-ventilator-taviranyitoval-40cm-45w-sfp-40-9308","https://www.somogyi.hu/product/allvanyos-ventilator-taviranyitoval-40cm-45w-sfp-40-9308")</f>
        <v>0.0</v>
      </c>
      <c r="E55" s="7" t="n">
        <f>HYPERLINK("https://www.somogyi.hu/data/img/product_main_images/small/09308.jpg","https://www.somogyi.hu/data/img/product_main_images/small/09308.jpg")</f>
        <v>0.0</v>
      </c>
      <c r="F55" s="2" t="inlineStr">
        <is>
          <t>5998312781210</t>
        </is>
      </c>
      <c r="G55" s="4" t="inlineStr">
        <is>
          <t>A ventilátorok nagy segítséget nyújtanak az olyan belső helyiségekben, ahol csekély a légmozgás. Segítségükkel a kevésbé levegős, valamint fülledt  helyiségekben is könnyedén frissíthetjük a levegőt.
Az SFP 40 álló ventilátor  számos praktikus tulajdonsággal rendelkezik, külseje jól passzol az otthoni és irodai közeghez egyaránt.
Magasságát akár 130 cm-re is állíthatjuk, a lapátátok átmérője: 40 cm. 
A ventilátor teljesítményének szabályozása során három fokozat közül választhatunk. A terméken külön kapcsolható az oszcilláló mozgás (90°) és ezen túl a szél funkció (2 fokozat), mely a természetes szélhez hasonló légáramlatot hoz létre, fokozva a komfort érzetet. A kényelmes használat érdekében minden funkció távirányítható és időzíthető. 
Válassza a minőségi termékeket és rendeljen webáruházunkból!</t>
        </is>
      </c>
    </row>
    <row r="56">
      <c r="A56" s="3" t="inlineStr">
        <is>
          <t>SF 40 WH/M</t>
        </is>
      </c>
      <c r="B56" s="2" t="inlineStr">
        <is>
          <t>Állványos ventilátor</t>
        </is>
      </c>
      <c r="C56" s="1" t="n">
        <v>12290.0</v>
      </c>
      <c r="D56" s="7" t="n">
        <f>HYPERLINK("https://www.somogyi.hu/product/allvanyos-ventilator-sf-40-wh-m-17244","https://www.somogyi.hu/product/allvanyos-ventilator-sf-40-wh-m-17244")</f>
        <v>0.0</v>
      </c>
      <c r="E56" s="7" t="n">
        <f>HYPERLINK("https://www.somogyi.hu/data/img/product_main_images/small/17244.jpg","https://www.somogyi.hu/data/img/product_main_images/small/17244.jpg")</f>
        <v>0.0</v>
      </c>
      <c r="F56" s="2" t="inlineStr">
        <is>
          <t>5999084952686</t>
        </is>
      </c>
      <c r="G56" s="4" t="inlineStr">
        <is>
          <t>Az SF 40 WH/M Állványos ventilátor a nyári kánikula elengedhetetlen kellékévé válhat lakásunknak, irodánknak munka és pihenés közben egyaránt. A motoron lévő forgókapcsolóval könnyen állítható a 3 fokozat. 
Névleges lapátátmérője 40 cm. A fej dőlésszöge állítható, valamint magassága 94- 124 cm között mozgatható.
Hűtse le a meleg napokat az SF 40 WH/M álló ventilátorral.</t>
        </is>
      </c>
    </row>
    <row r="57">
      <c r="A57" s="3" t="inlineStr">
        <is>
          <t>SF 40 BK/M</t>
        </is>
      </c>
      <c r="B57" s="2" t="inlineStr">
        <is>
          <t>Állványos ventilátor</t>
        </is>
      </c>
      <c r="C57" s="1" t="n">
        <v>12290.0</v>
      </c>
      <c r="D57" s="7" t="n">
        <f>HYPERLINK("https://www.somogyi.hu/product/allvanyos-ventilator-sf-40-bk-m-17245","https://www.somogyi.hu/product/allvanyos-ventilator-sf-40-bk-m-17245")</f>
        <v>0.0</v>
      </c>
      <c r="E57" s="7" t="n">
        <f>HYPERLINK("https://www.somogyi.hu/data/img/product_main_images/small/17245.jpg","https://www.somogyi.hu/data/img/product_main_images/small/17245.jpg")</f>
        <v>0.0</v>
      </c>
      <c r="F57" s="2" t="inlineStr">
        <is>
          <t>5999084952693</t>
        </is>
      </c>
      <c r="G57" s="4" t="inlineStr">
        <is>
          <t>Az SF 40 BK/M Állványos ventilátor a nyári kánikula elengedhetetlen kellékévé válhat lakásunknak, irodánknak munka és pihenés közben egyaránt. A motoron lévő forgókapcsolóval könnyen állítható a 3 fokozat. 
Névleges lapátátmérője 40 cm. A fej dőlésszöge állítható, valamint magassága 94- 124 cm között mozgatható.
Hűtse le a meleg napokat az SF 40 BK/M álló ventilátorral.</t>
        </is>
      </c>
    </row>
    <row r="58">
      <c r="A58" s="3" t="inlineStr">
        <is>
          <t>SF 43 BK</t>
        </is>
      </c>
      <c r="B58" s="2" t="inlineStr">
        <is>
          <t>Home SF 43 BK álló ventilátor, 45 W, 3 fokozat, 40 cm-es lapátátmérő, oszcillálás, fekete</t>
        </is>
      </c>
      <c r="C58" s="1" t="n">
        <v>10390.0</v>
      </c>
      <c r="D58" s="7" t="n">
        <f>HYPERLINK("https://www.somogyi.hu/product/home-sf-43-bk-allo-ventilator-45-w-3-fokozat-40-cm-es-lapatatmero-oszcillalas-fekete-sf-43-bk-18022","https://www.somogyi.hu/product/home-sf-43-bk-allo-ventilator-45-w-3-fokozat-40-cm-es-lapatatmero-oszcillalas-fekete-sf-43-bk-18022")</f>
        <v>0.0</v>
      </c>
      <c r="E58" s="7" t="n">
        <f>HYPERLINK("https://www.somogyi.hu/data/img/product_main_images/small/18022.jpg","https://www.somogyi.hu/data/img/product_main_images/small/18022.jpg")</f>
        <v>0.0</v>
      </c>
      <c r="F58" s="2" t="inlineStr">
        <is>
          <t>5999084960445</t>
        </is>
      </c>
      <c r="G58" s="4" t="inlineStr">
        <is>
          <t>Az SF 43 BK Állványos ventilátor a nyári kánikula elengedhetetlen kellékévé válhat lakásunknak, irodánknak munka és pihenés közben egyaránt. Mechanikus nyomógombokkal könnyen állítható a 3 sebeségfokozat. Névleges lapátátmérője 40 cm. A fej dőlésszöge állítható, valamint magassága 100- 120 cm között mozgatható. Hűtse le a meleg napokat az SF 43 BK Állványos ventilátorral!</t>
        </is>
      </c>
    </row>
    <row r="59">
      <c r="A59" s="6" t="inlineStr">
        <is>
          <t xml:space="preserve">   Hűtés / Asztali ventilátor</t>
        </is>
      </c>
      <c r="B59" s="6" t="inlineStr">
        <is>
          <t/>
        </is>
      </c>
      <c r="C59" s="6" t="inlineStr">
        <is>
          <t/>
        </is>
      </c>
      <c r="D59" s="6" t="inlineStr">
        <is>
          <t/>
        </is>
      </c>
      <c r="E59" s="6" t="inlineStr">
        <is>
          <t/>
        </is>
      </c>
      <c r="F59" s="6" t="inlineStr">
        <is>
          <t/>
        </is>
      </c>
      <c r="G59" s="6" t="inlineStr">
        <is>
          <t/>
        </is>
      </c>
    </row>
    <row r="60">
      <c r="A60" s="3" t="inlineStr">
        <is>
          <t>TF 14B</t>
        </is>
      </c>
      <c r="B60" s="2" t="inlineStr">
        <is>
          <t>Home TF 14B asztali ventilátor, 5 W, 14 cm-es lapátátmérő, 4 fokozat, 60°-os oszcillálás, 4000 mAh akkumulátor, visszajelző LED, fehér</t>
        </is>
      </c>
      <c r="C60" s="1" t="n">
        <v>7990.0</v>
      </c>
      <c r="D60" s="7" t="n">
        <f>HYPERLINK("https://www.somogyi.hu/product/home-tf-14b-asztali-ventilator-5-w-14-cm-es-lapatatmero-4-fokozat-60-os-oszcillalas-4000-mah-akkumulator-visszajelzo-led-feher-tf-14b-17608","https://www.somogyi.hu/product/home-tf-14b-asztali-ventilator-5-w-14-cm-es-lapatatmero-4-fokozat-60-os-oszcillalas-4000-mah-akkumulator-visszajelzo-led-feher-tf-14b-17608")</f>
        <v>0.0</v>
      </c>
      <c r="E60" s="7" t="n">
        <f>HYPERLINK("https://www.somogyi.hu/data/img/product_main_images/small/17608.jpg","https://www.somogyi.hu/data/img/product_main_images/small/17608.jpg")</f>
        <v>0.0</v>
      </c>
      <c r="F60" s="2" t="inlineStr">
        <is>
          <t>5999084956301</t>
        </is>
      </c>
      <c r="G60" s="4" t="inlineStr">
        <is>
          <t>A TF 14B Akkumulátoros asztali ventilátor praktikus megoldás a nyári nagy melegben. Kis helyigénye által munkahelyi állomásokhoz, irodákban kiválóan használható. Akkumulátoros kialakítása által bárhová magával viheti. A ventilátor sebessége 4 fokozatban kapcsolható, a fej fel/ le billenthető és 60°oszcillálás is állítható a készüléken. Névleges lapátátmérője 14 cm. Az asztali ventilátor 4000 mAh akkumulátorral ellátott, melynek 5- 12 óra az üzemideje egy töltéssel. A tartozék USB vezeték segítségével 3-4 óra alatt feltölthető, e közben is használható a készülék. Ventilátor teljesítménye 5 W.</t>
        </is>
      </c>
    </row>
    <row r="61">
      <c r="A61" s="3" t="inlineStr">
        <is>
          <t>TF 10 USB/WH</t>
        </is>
      </c>
      <c r="B61" s="2" t="inlineStr">
        <is>
          <t>Home TF 10 USB/WH asztali ventilátor, 2,5 W, 10 cm-es lapátátmérő, 1 fokozat, 1,4 m USB vezeték, fehér</t>
        </is>
      </c>
      <c r="C61" s="1" t="n">
        <v>2190.0</v>
      </c>
      <c r="D61" s="7" t="n">
        <f>HYPERLINK("https://www.somogyi.hu/product/home-tf-10-usb-wh-asztali-ventilator-2-5-w-10-cm-es-lapatatmero-1-fokozat-1-4-m-usb-vezetek-feher-tf-10-usb-wh-16304","https://www.somogyi.hu/product/home-tf-10-usb-wh-asztali-ventilator-2-5-w-10-cm-es-lapatatmero-1-fokozat-1-4-m-usb-vezetek-feher-tf-10-usb-wh-16304")</f>
        <v>0.0</v>
      </c>
      <c r="E61" s="7" t="n">
        <f>HYPERLINK("https://www.somogyi.hu/data/img/product_main_images/small/16304.jpg","https://www.somogyi.hu/data/img/product_main_images/small/16304.jpg")</f>
        <v>0.0</v>
      </c>
      <c r="F61" s="2" t="inlineStr">
        <is>
          <t>5999084943363</t>
        </is>
      </c>
      <c r="G61" s="4" t="inlineStr">
        <is>
          <t>A TF 10 USB/WH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62">
      <c r="A62" s="3" t="inlineStr">
        <is>
          <t>TF 32/BK</t>
        </is>
      </c>
      <c r="B62" s="2" t="inlineStr">
        <is>
          <t>Home TF 32/BK asztali ventilátor, 40 W, 3 fokozat, 30 cm-es lapátátmérő, 90°-os oszcillálás, fekete</t>
        </is>
      </c>
      <c r="C62" s="1" t="n">
        <v>12590.0</v>
      </c>
      <c r="D62" s="7" t="n">
        <f>HYPERLINK("https://www.somogyi.hu/product/home-tf-32-bk-asztali-ventilator-40-w-3-fokozat-30-cm-es-lapatatmero-90-os-oszcillalas-fekete-tf-32-bk-15753","https://www.somogyi.hu/product/home-tf-32-bk-asztali-ventilator-40-w-3-fokozat-30-cm-es-lapatatmero-90-os-oszcillalas-fekete-tf-32-bk-15753")</f>
        <v>0.0</v>
      </c>
      <c r="E62" s="7" t="n">
        <f>HYPERLINK("https://www.somogyi.hu/data/img/product_main_images/small/15753.jpg","https://www.somogyi.hu/data/img/product_main_images/small/15753.jpg")</f>
        <v>0.0</v>
      </c>
      <c r="F62" s="2" t="inlineStr">
        <is>
          <t>5999084937874</t>
        </is>
      </c>
      <c r="G62" s="4" t="inlineStr">
        <is>
          <t>A TF 32/BK Asztali ventilátor 3 fokozatban szabályozható teljesítménye és 90°oszcillálásának köszönhetően képes a helyiség levegőjének átmozgatására. A fej dőlés szöge állítható a koncentrált levegő keringetés érdekében. Teljesítménye 40 W. 
A ventilátor asztali kivitelben készült, így bárhova könnyedén elhelyezheti. 
Hűtse le a meleg napokat a TF 32/BK asztali ventilátorunkkal!</t>
        </is>
      </c>
    </row>
    <row r="63">
      <c r="A63" s="3" t="inlineStr">
        <is>
          <t>TFS 25</t>
        </is>
      </c>
      <c r="B63" s="2" t="inlineStr">
        <is>
          <t>Home TFS 25 asztali fém ventilátor, 30 W, 3 fokozat, 25 cm-es lapátátmérő, oszcillálás, 4 ventilátorlapát, ezüst színű bevonat</t>
        </is>
      </c>
      <c r="C63" s="1" t="n">
        <v>14790.0</v>
      </c>
      <c r="D63" s="7" t="n">
        <f>HYPERLINK("https://www.somogyi.hu/product/home-tfs-25-asztali-fem-ventilator-30-w-3-fokozat-25-cm-es-lapatatmero-oszcillalas-4-ventilatorlapat-ezust-szinu-bevonat-tfs-25-18023","https://www.somogyi.hu/product/home-tfs-25-asztali-fem-ventilator-30-w-3-fokozat-25-cm-es-lapatatmero-oszcillalas-4-ventilatorlapat-ezust-szinu-bevonat-tfs-25-18023")</f>
        <v>0.0</v>
      </c>
      <c r="E63" s="7" t="n">
        <f>HYPERLINK("https://www.somogyi.hu/data/img/product_main_images/small/18023.jpg","https://www.somogyi.hu/data/img/product_main_images/small/18023.jpg")</f>
        <v>0.0</v>
      </c>
      <c r="F63" s="2" t="inlineStr">
        <is>
          <t>5999084960452</t>
        </is>
      </c>
      <c r="G63" s="4" t="inlineStr">
        <is>
          <t>A TFS 25 ezüstszínű galvanizált bevonatú fém asztali ventilátor kiváló szolgálatot nyújt a hőség idején, felfrissítve a kevésbé szellőző és fülledt helyiségeket, legyen szó otthonáról vagy irodáról. Az erős spirális fémrács és a stabil kör alakú talp biztonságos használatot szavatol. Nem csupán a négy darab fém lapát,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25 fém asztali ventilátor minden igényt kielégít.</t>
        </is>
      </c>
    </row>
    <row r="64">
      <c r="A64" s="3" t="inlineStr">
        <is>
          <t>TF 23 TURBO</t>
        </is>
      </c>
      <c r="B64" s="2" t="inlineStr">
        <is>
          <t>Home TF 23 TURBO asztali/fali ventilátor, 50 W, 3 fokozat, 23 cm-es lapátátmérő, 90°-ban dönthető fej, fehér</t>
        </is>
      </c>
      <c r="C64" s="1" t="n">
        <v>11390.0</v>
      </c>
      <c r="D64" s="7" t="n">
        <f>HYPERLINK("https://www.somogyi.hu/product/home-tf-23-turbo-asztali-fali-ventilator-50-w-3-fokozat-23-cm-es-lapatatmero-90-ban-dontheto-fej-feher-tf-23-turbo-15831","https://www.somogyi.hu/product/home-tf-23-turbo-asztali-fali-ventilator-50-w-3-fokozat-23-cm-es-lapatatmero-90-ban-dontheto-fej-feher-tf-23-turbo-15831")</f>
        <v>0.0</v>
      </c>
      <c r="E64" s="7" t="n">
        <f>HYPERLINK("https://www.somogyi.hu/data/img/product_main_images/small/15831.jpg","https://www.somogyi.hu/data/img/product_main_images/small/15831.jpg")</f>
        <v>0.0</v>
      </c>
      <c r="F64" s="2" t="inlineStr">
        <is>
          <t>5999084938659</t>
        </is>
      </c>
      <c r="G64" s="4" t="inlineStr">
        <is>
          <t>Kicsi a bors, de erős! A TF 23 TURBO típusú ventilátorunk légsebessége 2x nagyobb a kínálatunkban levő azonos lapátátmérőjű TF 23 ventilátorhoz képest! Hőség idején jól jön, ha kéznél van! Praktikus kialakításának és méreteinek köszönhetően elfér egy kisebb asztalon vagy falra is szerelhető, így kiváltképpen nagy segítséget nyújt a forró nyári napokon, kis méretű helyiségek levegőjének frissítésére! Fehér színével jól beleillik az irodai környezetbe. A teljesítmény szabályozásánál három fokozat közül választhatunk. Állítható továbbá a fejdőlésszög  90°-os szögben.
Válassza a minőségi termékeket és rendeljen webáruházunkból!</t>
        </is>
      </c>
    </row>
    <row r="65">
      <c r="A65" s="3" t="inlineStr">
        <is>
          <t>CLF 10/BK</t>
        </is>
      </c>
      <c r="B65" s="2" t="inlineStr">
        <is>
          <t>Home CLF 10/BK csíptetős, akkumulátoros ventilátor, 3 fokozat, 10 cm-es lapátátmérő, állítható fejrész, 1800 mAh Li-ion akkumulátor, fekete</t>
        </is>
      </c>
      <c r="C65" s="1" t="n">
        <v>3690.0</v>
      </c>
      <c r="D65" s="7" t="n">
        <f>HYPERLINK("https://www.somogyi.hu/product/home-clf-10-bk-csiptetos-akkumulatoros-ventilator-3-fokozat-10-cm-es-lapatatmero-allithato-fejresz-1800-mah-li-ion-akkumulator-fekete-clf-10-bk-17613","https://www.somogyi.hu/product/home-clf-10-bk-csiptetos-akkumulatoros-ventilator-3-fokozat-10-cm-es-lapatatmero-allithato-fejresz-1800-mah-li-ion-akkumulator-fekete-clf-10-bk-17613")</f>
        <v>0.0</v>
      </c>
      <c r="E65" s="7" t="n">
        <f>HYPERLINK("https://www.somogyi.hu/data/img/product_main_images/small/17613.jpg","https://www.somogyi.hu/data/img/product_main_images/small/17613.jpg")</f>
        <v>0.0</v>
      </c>
      <c r="F65" s="2" t="inlineStr">
        <is>
          <t>5999084956356</t>
        </is>
      </c>
      <c r="G65" s="4" t="inlineStr">
        <is>
          <t>A CLF 10/BK Csiptetős, akkumulátoros ventilátor praktikus megoldás a nyári nagy melegben. Kis helyigénye által munkahelyi állomásokhoz, irodákban kiválóan használható. Akkumulátoros kialakítása által bárhová magával viheti. A ventilátor sebessége 3 fokozatban kapcsolható, a fej minden irányban forgatható, állítható. 
Névleges lapátátmérője 10 cm. Az asztali ventilátor Li-ion 18650 1800 mAh akkumulátorral ellátott, melynek 3-6 óra az üzemideje egy töltéssel. A tartozék USB vezeték segítségével 3 óra alatt feltölthető, e közben is használható a készülék.</t>
        </is>
      </c>
    </row>
    <row r="66">
      <c r="A66" s="3" t="inlineStr">
        <is>
          <t>TF 231</t>
        </is>
      </c>
      <c r="B66" s="2" t="inlineStr">
        <is>
          <t>Home TF 231 aszatli ventilátor, 21 W, 2 fokozat, 23 cm-es lapátátmérő, 90°-os oszcillálás, fehér</t>
        </is>
      </c>
      <c r="C66" s="1" t="n">
        <v>9090.0</v>
      </c>
      <c r="D66" s="7" t="n">
        <f>HYPERLINK("https://www.somogyi.hu/product/home-tf-231-aszatli-ventilator-21-w-2-fokozat-23-cm-es-lapatatmero-90-os-oszcillalas-feher-tf-231-18002","https://www.somogyi.hu/product/home-tf-231-aszatli-ventilator-21-w-2-fokozat-23-cm-es-lapatatmero-90-os-oszcillalas-feher-tf-231-18002")</f>
        <v>0.0</v>
      </c>
      <c r="E66" s="7" t="n">
        <f>HYPERLINK("https://www.somogyi.hu/data/img/product_main_images/small/18002.jpg","https://www.somogyi.hu/data/img/product_main_images/small/18002.jpg")</f>
        <v>0.0</v>
      </c>
      <c r="F66" s="2" t="inlineStr">
        <is>
          <t>5999084960247</t>
        </is>
      </c>
      <c r="G66" s="4" t="inlineStr">
        <is>
          <t>Hőség idején jól jön, ha kéznél van egy ventilátor, amely kellemes, frissítő légmozgást szolgáltat a számunkra. 
A TF 231 asztali ventilátor kifejezetten praktikus adottságokkal rendelkezik, hiszen méretéből adódóan könnyedén elfér egy kisebb asztalon is, így kiváltképpen nagy segítség szolgálatot nyújt az olyan forró nyári napokon, amikor huzamosabb időt kell eltöltenünk egy kis légmozgású helyiségben. 
A TF 231 asztali ventilátor  23 cm átmérőjű lapátátmérővel rendelkezik. A termék dizájnos fehér külseje kifejezetten illik az irodai közeghez.
A készülék teljesítményének szabályozásánál két fokozat közül választhatunk. Állítható továbbá a fejdőlésszög, illetve választható az oszcillálás, amely 90°-os szögben végez mozgást.
Az eszköz mérete: 27 x 39 cm. Válassza a minőségi termékeket és rendeljen webáruházunkból!</t>
        </is>
      </c>
    </row>
    <row r="67">
      <c r="A67" s="3" t="inlineStr">
        <is>
          <t>TF 10 USB</t>
        </is>
      </c>
      <c r="B67" s="2" t="inlineStr">
        <is>
          <t>Home TF 10 USB asztali ventilátor, 2,5 W, 10 cm-es lapátátmérő, 1 fokozat, 1,4 m USB vezeték, fekete</t>
        </is>
      </c>
      <c r="C67" s="1" t="n">
        <v>2190.0</v>
      </c>
      <c r="D67" s="7" t="n">
        <f>HYPERLINK("https://www.somogyi.hu/product/home-tf-10-usb-asztali-ventilator-2-5-w-10-cm-es-lapatatmero-1-fokozat-1-4-m-usb-vezetek-fekete-tf-10-usb-15832","https://www.somogyi.hu/product/home-tf-10-usb-asztali-ventilator-2-5-w-10-cm-es-lapatatmero-1-fokozat-1-4-m-usb-vezetek-fekete-tf-10-usb-15832")</f>
        <v>0.0</v>
      </c>
      <c r="E67" s="7" t="n">
        <f>HYPERLINK("https://www.somogyi.hu/data/img/product_main_images/small/15832.jpg","https://www.somogyi.hu/data/img/product_main_images/small/15832.jpg")</f>
        <v>0.0</v>
      </c>
      <c r="F67" s="2" t="inlineStr">
        <is>
          <t>5999084938666</t>
        </is>
      </c>
      <c r="G67" s="4" t="inlineStr">
        <is>
          <t>A TF 10 USB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68">
      <c r="A68" s="3" t="inlineStr">
        <is>
          <t>TFS 30</t>
        </is>
      </c>
      <c r="B68" s="2" t="inlineStr">
        <is>
          <t>Fém asztali ventilátor</t>
        </is>
      </c>
      <c r="C68" s="1" t="n">
        <v>19990.0</v>
      </c>
      <c r="D68" s="7" t="n">
        <f>HYPERLINK("https://www.somogyi.hu/product/fem-asztali-ventilator-tfs-30-15138","https://www.somogyi.hu/product/fem-asztali-ventilator-tfs-30-15138")</f>
        <v>0.0</v>
      </c>
      <c r="E68" s="7" t="n">
        <f>HYPERLINK("https://www.somogyi.hu/data/img/product_main_images/small/15138.jpg","https://www.somogyi.hu/data/img/product_main_images/small/15138.jpg")</f>
        <v>0.0</v>
      </c>
      <c r="F68" s="2" t="inlineStr">
        <is>
          <t>5999084931728</t>
        </is>
      </c>
      <c r="G68" s="4" t="inlineStr">
        <is>
          <t>A TFS 30 asztali ventilátor kiváló szolgálatot nyújt a hőség idején, felfrissítve a kevésbé szellőző és fülledt helyiségeket, legyen szó otthonáról vagy irodáról. Nem csupán a fém lapátok,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30 asztali ventilátor minden igényt kielégít.</t>
        </is>
      </c>
    </row>
    <row r="69">
      <c r="A69" s="3" t="inlineStr">
        <is>
          <t>WFM 2</t>
        </is>
      </c>
      <c r="B69" s="2" t="inlineStr">
        <is>
          <t>Home WFM 2 fali ventilátor, 30 W, 3 fokozat, 18 cm-es lapátátmérő, állítható dőlésszög, zsinórkapcsoló, fehér</t>
        </is>
      </c>
      <c r="C69" s="1" t="n">
        <v>18590.0</v>
      </c>
      <c r="D69" s="7" t="n">
        <f>HYPERLINK("https://www.somogyi.hu/product/home-wfm-2-fali-ventilator-30-w-3-fokozat-18-cm-es-lapatatmero-allithato-dolesszog-zsinorkapcsolo-feher-wfm-2-18025","https://www.somogyi.hu/product/home-wfm-2-fali-ventilator-30-w-3-fokozat-18-cm-es-lapatatmero-allithato-dolesszog-zsinorkapcsolo-feher-wfm-2-18025")</f>
        <v>0.0</v>
      </c>
      <c r="E69" s="7" t="n">
        <f>HYPERLINK("https://www.somogyi.hu/data/img/product_main_images/small/18025.jpg","https://www.somogyi.hu/data/img/product_main_images/small/18025.jpg")</f>
        <v>0.0</v>
      </c>
      <c r="F69" s="2" t="inlineStr">
        <is>
          <t>5999084960476</t>
        </is>
      </c>
      <c r="G69" s="4" t="inlineStr">
        <is>
          <t>Fedezze fel a WFM 2 fali ventilátor sokoldalúságát és hatékonyságát! Ez a kiváló minőségű ventilátor ideális választás otthona vagy irodája frissítésére. Kényelmes és egyszerű használat biztosítva a beépített forgókapcsoló és a zsinórkapcsolók révén. Három különböző sebességfokozat közül választva szabályozható a levegő áramlása. Akár gyengéd felfrissülést, akár intenzívebb hűtést szeretne, ez a ventilátor minden igényt kielégít. A kapcsolható oszcillálásnak és az állítható fejdőlésszögnek köszönhetően a levegő áramlásának irányát az igényeihez tudja igazítani. A gyors üzembehelyezést a tartozék tiplik és csavarok biztosítják.</t>
        </is>
      </c>
    </row>
    <row r="70">
      <c r="A70" s="3" t="inlineStr">
        <is>
          <t>TF 311</t>
        </is>
      </c>
      <c r="B70" s="2" t="inlineStr">
        <is>
          <t>Home TF 311 asztali ventilátor, 40 W, 3 fokozat, 30 cm-es lapátátmérő, 90°-os oszcillálás, fehér</t>
        </is>
      </c>
      <c r="C70" s="1" t="n">
        <v>9590.0</v>
      </c>
      <c r="D70" s="7" t="n">
        <f>HYPERLINK("https://www.somogyi.hu/product/home-tf-311-asztali-ventilator-40-w-3-fokozat-30-cm-es-lapatatmero-90-os-oszcillalas-feher-tf-311-18013","https://www.somogyi.hu/product/home-tf-311-asztali-ventilator-40-w-3-fokozat-30-cm-es-lapatatmero-90-os-oszcillalas-feher-tf-311-18013")</f>
        <v>0.0</v>
      </c>
      <c r="E70" s="7" t="n">
        <f>HYPERLINK("https://www.somogyi.hu/data/img/product_main_images/small/18013.jpg","https://www.somogyi.hu/data/img/product_main_images/small/18013.jpg")</f>
        <v>0.0</v>
      </c>
      <c r="F70" s="2" t="inlineStr">
        <is>
          <t>5999084960353</t>
        </is>
      </c>
      <c r="G70" s="4" t="inlineStr">
        <is>
          <t>Az asztali ventilátorok kiváló szolgálatot nyújtanak hőség idején, legyen szó otthoni vagy irodai környezetről. Segítségükkel a kevésbé levegős, valamint fülledt helyiségekben is javíthatunk a komfortérzetünkön. 
A TF 311 típusú asztali ventilátor 30 cm lapátátmérővel rendelkezik. A termék dizájnos fehér külseje kifejezetten illik az irodai miliőhöz. A készülék teljesítményének szabályozásakor összesen három fokozat közül választhatunk. A terméken állítható a fejdőlésszög, illetve bekapcsolhatjuk az oszcillálást, amely 90°-os szögben végez mozgást.
Az eszköz mérete: 34,5 x 47 cm. A tápkábel hossza: 1,45 m. Válassza a minőségi termékeket és rendeljen webáruházunkból!</t>
        </is>
      </c>
    </row>
    <row r="71">
      <c r="A71" s="3" t="inlineStr">
        <is>
          <t>HF 9/WH</t>
        </is>
      </c>
      <c r="B71" s="2" t="inlineStr">
        <is>
          <t>Home HF 9/WH kézi, tölthető ventilátor, 4 W, 10 cm-es lapátátmérő, 3 fokozat, 1200 mAh Li-ion akkumulátor, asztali tartó, fehér</t>
        </is>
      </c>
      <c r="C71" s="1" t="n">
        <v>3690.0</v>
      </c>
      <c r="D71" s="7" t="n">
        <f>HYPERLINK("https://www.somogyi.hu/product/home-hf-9-wh-kezi-toltheto-ventilator-4-w-10-cm-es-lapatatmero-3-fokozat-1200-mah-li-ion-akkumulator-asztali-tarto-feher-hf-9-wh-16387","https://www.somogyi.hu/product/home-hf-9-wh-kezi-toltheto-ventilator-4-w-10-cm-es-lapatatmero-3-fokozat-1200-mah-li-ion-akkumulator-asztali-tarto-feher-hf-9-wh-16387")</f>
        <v>0.0</v>
      </c>
      <c r="E71" s="7" t="n">
        <f>HYPERLINK("https://www.somogyi.hu/data/img/product_main_images/small/16387.jpg","https://www.somogyi.hu/data/img/product_main_images/small/16387.jpg")</f>
        <v>0.0</v>
      </c>
      <c r="F71" s="2" t="inlineStr">
        <is>
          <t>5999084944193</t>
        </is>
      </c>
      <c r="G71" s="4" t="inlineStr">
        <is>
          <t>A HF 9/WH Kézi ventilátor praktikus kivitelének köszönhetően kézben tartva vagy az asztali tartóba helyezve is használható. Kicsi méretének köszönhetően, bárhova magával viheti, így mindig kéznél lehet. 
A kézi ventilátor teljesítménye 3 fokozatban szabályozható.
Tartozékként adjuk hozzá a 80 cm USB töltővezetéket és a 1200 mAh Li-ion akkumulátort. 
Használja a kis helyigényű, hordozható kézi ventilátorunkat, amely gyors megoldás lehet a meleg nyári napokon.</t>
        </is>
      </c>
    </row>
    <row r="72">
      <c r="A72" s="6" t="inlineStr">
        <is>
          <t xml:space="preserve">   Hűtés / Padlóventilátor</t>
        </is>
      </c>
      <c r="B72" s="6" t="inlineStr">
        <is>
          <t/>
        </is>
      </c>
      <c r="C72" s="6" t="inlineStr">
        <is>
          <t/>
        </is>
      </c>
      <c r="D72" s="6" t="inlineStr">
        <is>
          <t/>
        </is>
      </c>
      <c r="E72" s="6" t="inlineStr">
        <is>
          <t/>
        </is>
      </c>
      <c r="F72" s="6" t="inlineStr">
        <is>
          <t/>
        </is>
      </c>
      <c r="G72" s="6" t="inlineStr">
        <is>
          <t/>
        </is>
      </c>
    </row>
    <row r="73">
      <c r="A73" s="3" t="inlineStr">
        <is>
          <t>PVR 30B</t>
        </is>
      </c>
      <c r="B73" s="2" t="inlineStr">
        <is>
          <t>Home PVR 30B padlóventilátor, 44,4 W, 3 fokozat, 30 cm-es lapátátmérő, 90°-os oszcillálás, fém lapátok, IPX 4, 8db 2000 mAh Li-ion akkumulátor</t>
        </is>
      </c>
      <c r="C73" s="1" t="n">
        <v>26690.0</v>
      </c>
      <c r="D73" s="7" t="n">
        <f>HYPERLINK("https://www.somogyi.hu/product/home-pvr-30b-padloventilator-44-4-w-3-fokozat-30-cm-es-lapatatmero-90-os-oszcillalas-fem-lapatok-ipx-4-8db-2000-mah-li-ion-akkumulator-pvr-30b-16747","https://www.somogyi.hu/product/home-pvr-30b-padloventilator-44-4-w-3-fokozat-30-cm-es-lapatatmero-90-os-oszcillalas-fem-lapatok-ipx-4-8db-2000-mah-li-ion-akkumulator-pvr-30b-16747")</f>
        <v>0.0</v>
      </c>
      <c r="E73" s="7" t="n">
        <f>HYPERLINK("https://www.somogyi.hu/data/img/product_main_images/small/16747.jpg","https://www.somogyi.hu/data/img/product_main_images/small/16747.jpg")</f>
        <v>0.0</v>
      </c>
      <c r="F73" s="2" t="inlineStr">
        <is>
          <t>5999084947798</t>
        </is>
      </c>
      <c r="G73" s="4" t="inlineStr">
        <is>
          <t>A PVR 30 B Akkumulátoros padlóventilátor masszív kivitelének köszönhetően nagyobb helyiségek, akár irodák vagy raktárak levegő átmozgatására képes. 
Teljesítménye fokozatmentesen szabályozható, a fej dőlés szöge 90°-ban állítható. A termék 30 cm-es lapátátmérővel rendelkezik. USB kimenettel ellátott, így az egyéb eszközök könnyen tölthetőek rajta. A beépített 6 db 2000 mAh Li- ion akkumulátorok merülését ledek mutatják. 
IPX4 freccsenő víz ellen védett. 
Tartozéka az 1,2 m hosszú hálózati adapter. 
Az akkumulátoros padlóventilátort elsősorban olyan helyekre ajánljuk, ahol nincs áram. 
A nyári melegben használja a masszív, fém lapátokkal és védőráccsal ellátott akkumulátoros padlóventilátorunkat!</t>
        </is>
      </c>
    </row>
    <row r="74">
      <c r="A74" s="3" t="inlineStr">
        <is>
          <t>PVR 40</t>
        </is>
      </c>
      <c r="B74" s="2" t="inlineStr">
        <is>
          <t>Padlóventilátor, 40cm, 90W</t>
        </is>
      </c>
      <c r="C74" s="1" t="n">
        <v>21090.0</v>
      </c>
      <c r="D74" s="7" t="n">
        <f>HYPERLINK("https://www.somogyi.hu/product/padloventilator-40cm-90w-pvr-40-14424","https://www.somogyi.hu/product/padloventilator-40cm-90w-pvr-40-14424")</f>
        <v>0.0</v>
      </c>
      <c r="E74" s="7" t="n">
        <f>HYPERLINK("https://www.somogyi.hu/data/img/product_main_images/small/14424.jpg","https://www.somogyi.hu/data/img/product_main_images/small/14424.jpg")</f>
        <v>0.0</v>
      </c>
      <c r="F74" s="2" t="inlineStr">
        <is>
          <t>5999084924720</t>
        </is>
      </c>
      <c r="G74" s="4" t="inlineStr">
        <is>
          <t>Mozgassa és frissítse a levegőt masszív, fém padlóventilátorainkkal! Nagy helyiségek szellőztetésére is kiválóan alkalmazható! Ez a típus 40 cm-es átmérőjű fém lapátokkal rendelkezik, teljesítménye 3 fokozatban állítható, fejdőlésszöge (90°) állítható. Válasszon a minőségi termékekből, rendeljen webáruházunkból!</t>
        </is>
      </c>
    </row>
    <row r="75">
      <c r="A75" s="3" t="inlineStr">
        <is>
          <t>PVR 35</t>
        </is>
      </c>
      <c r="B75" s="2" t="inlineStr">
        <is>
          <t>Home PVR 35 padlóventilátor, 60 W, 3 fokozat, 35 cm-es lapátátmérő, állítható fejdőlésszög, fém lapátok, fém rács</t>
        </is>
      </c>
      <c r="C75" s="1" t="n">
        <v>16390.0</v>
      </c>
      <c r="D75" s="7" t="n">
        <f>HYPERLINK("https://www.somogyi.hu/product/home-pvr-35-padloventilator-60-w-3-fokozat-35-cm-es-lapatatmero-allithato-fejdolesszog-fem-lapatok-fem-racs-pvr-35-7405","https://www.somogyi.hu/product/home-pvr-35-padloventilator-60-w-3-fokozat-35-cm-es-lapatatmero-allithato-fejdolesszog-fem-lapatok-fem-racs-pvr-35-7405")</f>
        <v>0.0</v>
      </c>
      <c r="E75" s="7" t="n">
        <f>HYPERLINK("https://www.somogyi.hu/data/img/product_main_images/small/07405.jpg","https://www.somogyi.hu/data/img/product_main_images/small/07405.jpg")</f>
        <v>0.0</v>
      </c>
      <c r="F75" s="2" t="inlineStr">
        <is>
          <t>5998312763940</t>
        </is>
      </c>
      <c r="G75" s="4" t="inlineStr">
        <is>
          <t>Mozgassa és frissítse a levegőt masszív, fém padlóventilátorainkkal! Nagy helyiségek szellőztetésére is kiválóan alkalmazható! Ez a típus 35 cm-es átmérőjű fém lapátokkal rendelkezik, teljesítménye 3 fokozatban állítható, fejdőlésszöge (90°) állítható. Válasszon a minőségi termékekből, rendeljen webáruházunkból!</t>
        </is>
      </c>
    </row>
    <row r="76">
      <c r="A76" s="3" t="inlineStr">
        <is>
          <t>PVR 50</t>
        </is>
      </c>
      <c r="B76" s="2" t="inlineStr">
        <is>
          <t>Home PVR 50 padlóventilátor, 120 W, 3 fokozat, 50 cm-es lapátátmérő, állítható fejdőlésszög, fém lapátok, fém rács</t>
        </is>
      </c>
      <c r="C76" s="1" t="n">
        <v>24290.0</v>
      </c>
      <c r="D76" s="7" t="n">
        <f>HYPERLINK("https://www.somogyi.hu/product/home-pvr-50-padloventilator-120-w-3-fokozat-50-cm-es-lapatatmero-allithato-fejdolesszog-fem-lapatok-fem-racs-pvr-50-13348","https://www.somogyi.hu/product/home-pvr-50-padloventilator-120-w-3-fokozat-50-cm-es-lapatatmero-allithato-fejdolesszog-fem-lapatok-fem-racs-pvr-50-13348")</f>
        <v>0.0</v>
      </c>
      <c r="E76" s="7" t="n">
        <f>HYPERLINK("https://www.somogyi.hu/data/img/product_main_images/small/13348.jpg","https://www.somogyi.hu/data/img/product_main_images/small/13348.jpg")</f>
        <v>0.0</v>
      </c>
      <c r="F76" s="2" t="inlineStr">
        <is>
          <t>5999084914349</t>
        </is>
      </c>
      <c r="G76" s="4" t="inlineStr">
        <is>
          <t>Mozgassa és frissítse a levegőt masszív, fém padlóventilátorainkkal! Nagy helyiségek szellőztetésére is kiválóan alkalmazható! Ez a típus a család legnagyobb tagja, 50 cm lapátátmérővel. Fém lapátokkal, szabályozható teljesítménnyel (3 fokozat) rendelkezik, fejdőlésszöge (90°) állítható. Válasszon a minőségi termékekből, rendeljen webáruházunkból!</t>
        </is>
      </c>
    </row>
    <row r="77">
      <c r="A77" s="3" t="inlineStr">
        <is>
          <t>ST-12F-E</t>
        </is>
      </c>
      <c r="B77" s="2" t="inlineStr">
        <is>
          <t>STANLEY padlóventilátor</t>
        </is>
      </c>
      <c r="C77" s="1" t="n">
        <v>34590.0</v>
      </c>
      <c r="D77" s="7" t="n">
        <f>HYPERLINK("https://www.somogyi.hu/product/stanley-padloventilator-st-12f-e-17865","https://www.somogyi.hu/product/stanley-padloventilator-st-12f-e-17865")</f>
        <v>0.0</v>
      </c>
      <c r="E77" s="7" t="n">
        <f>HYPERLINK("https://www.somogyi.hu/data/img/product_main_images/small/17865.jpg","https://www.somogyi.hu/data/img/product_main_images/small/17865.jpg")</f>
        <v>0.0</v>
      </c>
      <c r="F77" s="2" t="inlineStr">
        <is>
          <t>0657888150121</t>
        </is>
      </c>
      <c r="G77" s="4" t="inlineStr">
        <is>
          <t>Fedezze fel a ST-12F-E STANLEY padlóventilátor erejét és funkcionalitását! Nagy teherbírású edzett acél ventilátorlapátok biztosítják a maximális tartósságot és hatékonyságot, így hosszú távon is zavartalanul működik. Három különböző sebességfokozattal rendelkezik, így könnyen választhat a gyengédtől az intenzívebb hűtésig. A fejdőlésszög állítási lehetőségnek köszönhetően egyszerűen irányítható a levegő áramlása a kívánt irányba. A lapátok optimális légáramot biztosítanak, így gyorsan eloszlatják a meleget és hűtik a levegőt. ST-12F-E STANLEY padlóventilátor 1,8 méteres csatlakozókábellel rendelkezik, amely nagy mozgásszabadságot biztosít. A termék kicsi súlyának köszönhetően könnyedén áthelyezhető, így a legmegfelelőbb helyen éri el hatékonyságát.</t>
        </is>
      </c>
    </row>
    <row r="78">
      <c r="A78" s="3" t="inlineStr">
        <is>
          <t>PVRO 40</t>
        </is>
      </c>
      <c r="B78" s="2" t="inlineStr">
        <is>
          <t>Home PVRO 40 padlóventilátor, 50 W, 3 fokozat, 40 cm-es lapátátmérő, oszcillálás, állítható fejdőlésszög, fém lapátok, fém rács, fekete</t>
        </is>
      </c>
      <c r="C78" s="1" t="n">
        <v>32690.0</v>
      </c>
      <c r="D78" s="7" t="n">
        <f>HYPERLINK("https://www.somogyi.hu/product/home-pvro-40-padloventilator-50-w-3-fokozat-40-cm-es-lapatatmero-oszcillalas-allithato-fejdolesszog-fem-lapatok-fem-racs-fekete-pvro-40-15770","https://www.somogyi.hu/product/home-pvro-40-padloventilator-50-w-3-fokozat-40-cm-es-lapatatmero-oszcillalas-allithato-fejdolesszog-fem-lapatok-fem-racs-fekete-pvro-40-15770")</f>
        <v>0.0</v>
      </c>
      <c r="E78" s="7" t="n">
        <f>HYPERLINK("https://www.somogyi.hu/data/img/product_main_images/small/15770.jpg","https://www.somogyi.hu/data/img/product_main_images/small/15770.jpg")</f>
        <v>0.0</v>
      </c>
      <c r="F78" s="2" t="inlineStr">
        <is>
          <t>5999084938048</t>
        </is>
      </c>
      <c r="G78" s="4" t="inlineStr">
        <is>
          <t>Hűvöset a nyári forróságba! A PVRO 40 a padlóventilátorok egyedi típusa. Külön bekapcsolható a tengely védőrácson belüli, keringő mozgása (precesszió). Így a ventilátor a levegőt nagyobb szögben keveri. 40 cm átmérőjű fém lapátokkal nagy légszállítást biztosít. 3 féle fokozatból választhatunk a teljesítmény szabályozásánál. Mindezeken túl fejdőlésszöge is állítható (90°). 
Válasszon minőségi termékeink közül, rendeljen webáruházunkból!</t>
        </is>
      </c>
    </row>
    <row r="79">
      <c r="A79" s="6" t="inlineStr">
        <is>
          <t xml:space="preserve">   Hűtés / Mennyezeti ventilátor</t>
        </is>
      </c>
      <c r="B79" s="6" t="inlineStr">
        <is>
          <t/>
        </is>
      </c>
      <c r="C79" s="6" t="inlineStr">
        <is>
          <t/>
        </is>
      </c>
      <c r="D79" s="6" t="inlineStr">
        <is>
          <t/>
        </is>
      </c>
      <c r="E79" s="6" t="inlineStr">
        <is>
          <t/>
        </is>
      </c>
      <c r="F79" s="6" t="inlineStr">
        <is>
          <t/>
        </is>
      </c>
      <c r="G79" s="6" t="inlineStr">
        <is>
          <t/>
        </is>
      </c>
    </row>
    <row r="80">
      <c r="A80" s="3" t="inlineStr">
        <is>
          <t>CF 1050 L</t>
        </is>
      </c>
      <c r="B80" s="2" t="inlineStr">
        <is>
          <t>Mennyezeti ventilátor lámpával</t>
        </is>
      </c>
      <c r="C80" s="1" t="n">
        <v>29190.0</v>
      </c>
      <c r="D80" s="7" t="n">
        <f>HYPERLINK("https://www.somogyi.hu/product/mennyezeti-ventilator-lampaval-cf-1050-l-16766","https://www.somogyi.hu/product/mennyezeti-ventilator-lampaval-cf-1050-l-16766")</f>
        <v>0.0</v>
      </c>
      <c r="E80" s="7" t="n">
        <f>HYPERLINK("https://www.somogyi.hu/data/img/product_main_images/small/16766.jpg","https://www.somogyi.hu/data/img/product_main_images/small/16766.jpg")</f>
        <v>0.0</v>
      </c>
      <c r="F80" s="2" t="inlineStr">
        <is>
          <t>5999084947989</t>
        </is>
      </c>
      <c r="G80" s="4" t="inlineStr">
        <is>
          <t>A CF 1050 L Mennyezeti ventilátorhoz 3 db lámpa is tartozik, mely E 27-es foglalatú fényforrással használható. A mennyezeti ventilátor jellegzetes kivitelének köszönhetően kiváló megoldás otthonában, hétvégi házakban vagy akár nyaralókban. A termék 105 cm-es lapátátmérővel rendelkezik. A 4 db MDF anyagú lapát egyik oldala sima, a másik mintás kivitelben készült, így a szoba stílusához választva forgathatja őket. 
A mennyezeti ventilátor teljesítménye zsinórkapcsolóval 3 fokozatban szabályozható, forgásiránya megfordítható, így a ventilátor fűtési szezonban is segítségére lehet, mert a lapátok a felszálló meleg levegőt lefelé fogják irányítani.
A fényforrás nem tartozéka a csomagnak.</t>
        </is>
      </c>
    </row>
    <row r="81">
      <c r="A81" s="6" t="inlineStr">
        <is>
          <t xml:space="preserve">   Hűtés / Kézi ventilátor</t>
        </is>
      </c>
      <c r="B81" s="6" t="inlineStr">
        <is>
          <t/>
        </is>
      </c>
      <c r="C81" s="6" t="inlineStr">
        <is>
          <t/>
        </is>
      </c>
      <c r="D81" s="6" t="inlineStr">
        <is>
          <t/>
        </is>
      </c>
      <c r="E81" s="6" t="inlineStr">
        <is>
          <t/>
        </is>
      </c>
      <c r="F81" s="6" t="inlineStr">
        <is>
          <t/>
        </is>
      </c>
      <c r="G81" s="6" t="inlineStr">
        <is>
          <t/>
        </is>
      </c>
    </row>
    <row r="82">
      <c r="A82" s="3" t="inlineStr">
        <is>
          <t>HF 10/T</t>
        </is>
      </c>
      <c r="B82" s="2" t="inlineStr">
        <is>
          <t>Home HF 10/T kézi, tölthető ventilátor, 10 cm-es lapátátmérő, 1200 mAh Li-ion akkumulátor, power bank funkció, visszahúzható lapát</t>
        </is>
      </c>
      <c r="C82" s="1" t="n">
        <v>2090.0</v>
      </c>
      <c r="D82" s="7" t="n">
        <f>HYPERLINK("https://www.somogyi.hu/product/home-hf-10-t-kezi-toltheto-ventilator-10-cm-es-lapatatmero-1200-mah-li-ion-akkumulator-power-bank-funkcio-visszahuzhato-lapat-hf-10-t-16732","https://www.somogyi.hu/product/home-hf-10-t-kezi-toltheto-ventilator-10-cm-es-lapatatmero-1200-mah-li-ion-akkumulator-power-bank-funkcio-visszahuzhato-lapat-hf-10-t-16732")</f>
        <v>0.0</v>
      </c>
      <c r="E82" s="7" t="n">
        <f>HYPERLINK("https://www.somogyi.hu/data/img/product_main_images/small/16732.jpg","https://www.somogyi.hu/data/img/product_main_images/small/16732.jpg")</f>
        <v>0.0</v>
      </c>
      <c r="F82" s="2" t="inlineStr">
        <is>
          <t>5999084947644</t>
        </is>
      </c>
      <c r="G82" s="4" t="inlineStr">
        <is>
          <t>A HF 10/T Kézi ventilátor praktikus kivitelének köszönhetően nem csak ventilátor funkciót tölt be, de akár PowerBank- ként is használható. Üzemideje akár 5 óra. Kényelmes tárolási lehetőséget biztosít, hogy tokjába visszahúzható, így táskába, zsebben vagy kesztyűtartóba is elteheti. 
Tartozékként adjuk hozzá a mikro USB töltővezetéket és a beépített 1200 mAh Li-ion akkumulátort. 
Használja a kis helyigényű, hordozható kézi ventilátorunkat, amely gyors megoldás lehet a meleg nyári napokon.</t>
        </is>
      </c>
    </row>
    <row r="83">
      <c r="A83" s="6" t="inlineStr">
        <is>
          <t xml:space="preserve">   Grillezés / Gázgrill</t>
        </is>
      </c>
      <c r="B83" s="6" t="inlineStr">
        <is>
          <t/>
        </is>
      </c>
      <c r="C83" s="6" t="inlineStr">
        <is>
          <t/>
        </is>
      </c>
      <c r="D83" s="6" t="inlineStr">
        <is>
          <t/>
        </is>
      </c>
      <c r="E83" s="6" t="inlineStr">
        <is>
          <t/>
        </is>
      </c>
      <c r="F83" s="6" t="inlineStr">
        <is>
          <t/>
        </is>
      </c>
      <c r="G83" s="6" t="inlineStr">
        <is>
          <t/>
        </is>
      </c>
    </row>
    <row r="84">
      <c r="A84" s="3" t="inlineStr">
        <is>
          <t>BC-GAS-2037</t>
        </is>
      </c>
      <c r="B84" s="2" t="inlineStr">
        <is>
          <t>Barbecook BC-GAS-2037 Stella 3221 gázgrill, tárolóval, oldalégővel, gázpalack tárolóval, 174x59x119cm</t>
        </is>
      </c>
      <c r="C84" s="1" t="n">
        <v>356990.0</v>
      </c>
      <c r="D84" s="7" t="n">
        <f>HYPERLINK("https://www.somogyi.hu/product/barbecook-bc-gas-2037-stella-3221-gazgrill-taroloval-oldalegovel-gazpalack-taroloval-174x59x119cm-bc-gas-2037-18812","https://www.somogyi.hu/product/barbecook-bc-gas-2037-stella-3221-gazgrill-taroloval-oldalegovel-gazpalack-taroloval-174x59x119cm-bc-gas-2037-18812")</f>
        <v>0.0</v>
      </c>
      <c r="E84" s="7" t="n">
        <f>HYPERLINK("https://www.somogyi.hu/data/img/product_main_images/small/18812.jpg","https://www.somogyi.hu/data/img/product_main_images/small/18812.jpg")</f>
        <v>0.0</v>
      </c>
      <c r="F84" s="2" t="inlineStr">
        <is>
          <t>5400269210533</t>
        </is>
      </c>
      <c r="G84" s="4" t="inlineStr">
        <is>
          <t>Szeretne egy könnyen használható és sokoldalú gázgrillt, amely minden grillezési igényt kielégít? A Barbecook BC-GAS-2037 Stella 3221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3221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3221 gázgrill? A Stella 3221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3221 gázsütővel akár 14 főt is kiszolgálhat. Ez a modell három égővel és három ráccsal rendelkezik, egy 35x43 cm, kettő pedig 17x43 cm méretű. Ezen kívül egy extra hosszú, összecsukható oldalsó asztallal is rendelkezik, amely három praktikus kiegészítő kampóval van ellátva. A Stella 3221 gázsütőnek van oldalégője is, amely ideális szószok vagy köretek készítéséhez. Könnyen mozgatható a készülék alján található négy keréknek köszönhetően. Ezenkívül a Stella 3221 gázsütőnek két hatalmas fiókja van és egy külön gázpalackos szekrény is helyet kapott.
Na hagyja ki a grillszezont sütő hiányában. Vendégelje meg barátait, családját egy kis szabadtéri sütögetésre. Ebben hű társa lesz a Barbecook Stella 3221.</t>
        </is>
      </c>
    </row>
    <row r="85">
      <c r="A85" s="3" t="inlineStr">
        <is>
          <t>BC-GAS-2024</t>
        </is>
      </c>
      <c r="B85" s="2" t="inlineStr">
        <is>
          <t>Barbecook BC-GAS-2024 Siesta 412 Black Edition gázgrill, tárolóval, oldalégővel, 132x56x120cm</t>
        </is>
      </c>
      <c r="C85" s="1" t="n">
        <v>276990.0</v>
      </c>
      <c r="D85" s="7" t="n">
        <f>HYPERLINK("https://www.somogyi.hu/product/barbecook-bc-gas-2024-siesta-412-black-edition-gazgrill-taroloval-oldalegovel-132x56x120cm-bc-gas-2024-18753","https://www.somogyi.hu/product/barbecook-bc-gas-2024-siesta-412-black-edition-gazgrill-taroloval-oldalegovel-132x56x120cm-bc-gas-2024-18753")</f>
        <v>0.0</v>
      </c>
      <c r="E85" s="7" t="n">
        <f>HYPERLINK("https://www.somogyi.hu/data/img/product_main_images/small/18753.jpg","https://www.somogyi.hu/data/img/product_main_images/small/18753.jpg")</f>
        <v>0.0</v>
      </c>
      <c r="F85" s="2" t="inlineStr">
        <is>
          <t>5400269207519</t>
        </is>
      </c>
      <c r="G85" s="4" t="inlineStr">
        <is>
          <t>Szeretne egy olyan gázgrillt, ami könnyű használatot és sokoldalúságot nyújt egyben? A Barbecook BC-GAS-2024 Siesta 412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86">
      <c r="A86" s="3" t="inlineStr">
        <is>
          <t>BC-GAS-2038</t>
        </is>
      </c>
      <c r="B86" s="2" t="inlineStr">
        <is>
          <t>Barbecook BC-GAS-2038 Stella 4311 gázgrill, tárolóval, infravörös oldalégővel, 174x59x119cm</t>
        </is>
      </c>
      <c r="C86" s="1" t="n">
        <v>379990.0</v>
      </c>
      <c r="D86" s="7" t="n">
        <f>HYPERLINK("https://www.somogyi.hu/product/barbecook-bc-gas-2038-stella-4311-gazgrill-taroloval-infravoros-oldalegovel-174x59x119cm-bc-gas-2038-18813","https://www.somogyi.hu/product/barbecook-bc-gas-2038-stella-4311-gazgrill-taroloval-infravoros-oldalegovel-174x59x119cm-bc-gas-2038-18813")</f>
        <v>0.0</v>
      </c>
      <c r="E86" s="7" t="n">
        <f>HYPERLINK("https://www.somogyi.hu/data/img/product_main_images/small/18813.jpg","https://www.somogyi.hu/data/img/product_main_images/small/18813.jpg")</f>
        <v>0.0</v>
      </c>
      <c r="F86" s="2" t="inlineStr">
        <is>
          <t>5400269210540</t>
        </is>
      </c>
      <c r="G86" s="4" t="inlineStr">
        <is>
          <t>Szeretne egy könnyen használható és sokoldalú gázgrillt, amely minden grillezési igényt kielégít? A Barbecook BC-GAS-2038 Stella 4311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4311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4311 gázgrill? A Stella 4311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4311 gázsütővel akár 14 főt is kiszolgálhat. Ebben a modellben négy égő és három rács található, az egyik 35x43 cm, kettő pedig 17x43 cm méretű. Ezenkívül egy extra hosszú, összecsukható oldalsó asztallal rendelkezik, amelyet három praktikus kiegészítő kampóval láttak el. A Stella 4311 gázsütőnek van egy infravörös oldalsó égője is grillráccsal, amely akár 700°C-ig is fel tud melegedni. Könnyen mozgatható a készülék alján található négy görgőnek köszönhetően. Ezenkívül a Stella 4311 gázsütőn ajtókkal felszerelt tárolóhelyet is talál.
Na hagyja ki a grillszezont sütő hiányában. Vendégelje meg barátait, családját egy kis szabadtéri sütögetésre. Ebben hű társa lesz a Barbecook Stella 4311.</t>
        </is>
      </c>
    </row>
    <row r="87">
      <c r="A87" s="3" t="inlineStr">
        <is>
          <t>BC-GAS-2036</t>
        </is>
      </c>
      <c r="B87" s="2" t="inlineStr">
        <is>
          <t>Barbecook BC-GAS-2036 Stella 3201 gázgrill, tárolóval, oldalégővel, 174x59x119cm</t>
        </is>
      </c>
      <c r="C87" s="1" t="n">
        <v>267990.0</v>
      </c>
      <c r="D87" s="7" t="n">
        <f>HYPERLINK("https://www.somogyi.hu/product/barbecook-bc-gas-2036-stella-3201-gazgrill-taroloval-oldalegovel-174x59x119cm-bc-gas-2036-18781","https://www.somogyi.hu/product/barbecook-bc-gas-2036-stella-3201-gazgrill-taroloval-oldalegovel-174x59x119cm-bc-gas-2036-18781")</f>
        <v>0.0</v>
      </c>
      <c r="E87" s="7" t="n">
        <f>HYPERLINK("https://www.somogyi.hu/data/img/product_main_images/small/18781.jpg","https://www.somogyi.hu/data/img/product_main_images/small/18781.jpg")</f>
        <v>0.0</v>
      </c>
      <c r="F87" s="2" t="inlineStr">
        <is>
          <t>5400269210526</t>
        </is>
      </c>
      <c r="G87" s="4" t="inlineStr">
        <is>
          <t>Szeretne egy könnyen használható és sokoldalú gázgrillt, amely minden grillezési igényt kielégít? A Barbecook BC-GAS-2036 Stella 3201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3201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3201 gázgrill? A Stella 3201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3201 gázgrill műszaki adatai: A Stella 3201 gázgrillel akár 14 személyt is kiszolgálhat. Ez a modell három égővel és három ráccsal rendelkezik, egyik mérete 35x43 cm, a másik kettőé 17x43 cm. Ezenkívül a gázgrill egy extra hosszú, összecsukható oldalsó asztallal is rendelkezik, amelyen három kiegészítő horog található. A Stella 3201 gázgrill egy oldalsó égőt is kapott amely ideális szószok vagy köretek elkészítésére. Ezt a modellt a készülék alján lévő négy keréknek köszönhetően könnyen mozgathatja. Továbbá a Stella 3201 gázgrill ajtókkal és tárolóhellyel felszerelt szekrénnyel van ellátva.
Na hagyja ki a grillszezont sütő hiányában. Vendégelje meg barátait, családját egy kis szabadtéri sütögetésre. Ebben hű társa lesz a Barbecook Stella 3201.</t>
        </is>
      </c>
    </row>
    <row r="88">
      <c r="A88" s="3" t="inlineStr">
        <is>
          <t>BC-GAS-2003</t>
        </is>
      </c>
      <c r="B88" s="2" t="inlineStr">
        <is>
          <t>Barbecook BC-GAS-2003 Spring 3212 gázgrill, tárolóval, oldalégővel, 133x57x115cm</t>
        </is>
      </c>
      <c r="C88" s="1" t="n">
        <v>155990.0</v>
      </c>
      <c r="D88" s="7" t="n">
        <f>HYPERLINK("https://www.somogyi.hu/product/barbecook-bc-gas-2003-spring-3212-gazgrill-taroloval-oldalegovel-133x57x115cm-bc-gas-2003-18807","https://www.somogyi.hu/product/barbecook-bc-gas-2003-spring-3212-gazgrill-taroloval-oldalegovel-133x57x115cm-bc-gas-2003-18807")</f>
        <v>0.0</v>
      </c>
      <c r="E88" s="7" t="n">
        <f>HYPERLINK("https://www.somogyi.hu/data/img/product_main_images/small/18807.jpg","https://www.somogyi.hu/data/img/product_main_images/small/18807.jpg")</f>
        <v>0.0</v>
      </c>
      <c r="F88" s="2" t="inlineStr">
        <is>
          <t>5400269210564</t>
        </is>
      </c>
      <c r="G88" s="4" t="inlineStr">
        <is>
          <t>Egy olyan grillt keres, ami egyszerűséget és sokoldalúságot kínál egyben? A Barbecook BC-GAS-2003 Spring 3212 gázgrill minden igényt kielégít, legyen szó a teljes kültéri főzési élményről, miközben nem kell lemondania a kényelemről és a kontrollról. 
A Barbecook különféle gázgrill modelljeit kínálja, amelyek mindegyike kiemelkedik minőségében, megjelenésében és könnyű használhatóságában. A Spring sorozat négy különböző formátumban kapható: Spring 2002, Spring 3002, Spring 3112 és Spring 3212.
A Spring 3212 gázgrill számos előnnyel rendelkezik. Ez a grilltípus rendkívül könnyen és gyorsan gyújtható be, így nem kell időt veszítenie, azonnal kezdheti a grillezést. A gázgrill stabil eszköz, amellyel számos különböző ételt készíthet: klasszikus BBQ kolbászt, pizzát vagy akár süteményt is. A zománcozott fedél és a beépített hőmérő segítségével maximális kontrollt biztosít ételei felett. A Spring 3212 gázgrill rácsai zománcozott öntöttvasból készültek, tökéletesek az alapanyagok egyenletes és jó sütéséhez. Ha több alapanyagot grillez egyszerre, és az egyik már elkészült, egyszerűen helyezze azt a melegen tartó rácsra, amíg a többi megsül. A beépített, mosogatógépben mosható csepegtető tálca gyűjti össze az ételek zsírját. A Spring 3212 gázgrill két kerékkel van ellátva, így könnyen mozgatható.
A Spring 3212 gázgrill használata rendkívül egyszerű. Először nyissa ki a gázgrill fedelét, majd nyissa meg a gázpalackot. Hagyja, hogy a gáz áramoljon a grillben. Ezután tekerje a vezérlőgombokat a legmagasabb állásba. Ezek az egyes égőkhöz vannak kapcsolva. Amikor látja a lángot, zárja be a fedelet és hagyja a készüléket kb. 10-15 percig felmelegedni. Ezután kezdődhet a grillezés! A gázgrill használatakor ajánlott propán gázt használni, és ne felejtse el megvásárolni a hozzáillő gázszabályozót. Ez csökkenti a gázpalack nyomását, ami gyakran sokkal magasabb, mint amire a grillnek szüksége van. Rendszeresen ellenőrizze a gázcső dátumát. A szabványos gázcsövek élettartama 5-10 év.
A Spring 3212 gázgrill műszaki adatai: Három égővel és három, 21 cm x 43 cm méretű ráccsal rendelkezik, amellyel körülbelül 10 fő számára szolgálhat fel grillezett ételeket. Egy rögzített oldalsó asztal és egy oldalsó égő is tartozéka a Spring 3212-nek. Az oldalsó égő például szószok vagy köretek készítésére lehet hasznos. Ezenkívül a készülék ajtóval ellátott tárolóhellyel is rendelkezik. Jó tudni, hogy ezt a gázgrillt kombinálhatja a Barbecook forgónyárs készletével is.
Ne elégedjen meg a középszerű minőséggel! Válassza a Barbecook BC-GAS-2003 Spring 3212 gázgrillt, így a szezon teljes ideje alatt a szabadban grillezhet.</t>
        </is>
      </c>
    </row>
    <row r="89">
      <c r="A89" s="3" t="inlineStr">
        <is>
          <t>BC-GAS-2009</t>
        </is>
      </c>
      <c r="B89" s="2" t="inlineStr">
        <is>
          <t>Barbecook BC-GAS-2009 Spring 2002 gázgrill, 110x55x115cm</t>
        </is>
      </c>
      <c r="C89" s="1" t="n">
        <v>102990.0</v>
      </c>
      <c r="D89" s="7" t="n">
        <f>HYPERLINK("https://www.somogyi.hu/product/barbecook-bc-gas-2009-spring-2002-gazgrill-110x55x115cm-bc-gas-2009-18808","https://www.somogyi.hu/product/barbecook-bc-gas-2009-spring-2002-gazgrill-110x55x115cm-bc-gas-2009-18808")</f>
        <v>0.0</v>
      </c>
      <c r="E89" s="7" t="n">
        <f>HYPERLINK("https://www.somogyi.hu/data/img/product_main_images/small/18808.jpg","https://www.somogyi.hu/data/img/product_main_images/small/18808.jpg")</f>
        <v>0.0</v>
      </c>
      <c r="F89" s="2" t="inlineStr">
        <is>
          <t>5400269210557</t>
        </is>
      </c>
      <c r="G89" s="4" t="inlineStr">
        <is>
          <t>Egy gázgrillt keres, amely könnyű használatot és sokoldalúságot kínál? Fedezze fel a Barbecook Spring 2002 gázgrillt, amely a kényelem és a könnyedség kombinációját kínálja a kültéri főzési élményhez. Ez a modell ideális választás lehet azok számára, akik értékelik az egyszerűséget és a precizitást grillezés közben.
A Spring 2002 gázgrill előnyei:
A Barbecook Spring 2002 gázgrill számos előnnyel rendelkezik, amely megkönnyíti a grillezést és emeli a kerti partik színvonalát. Az elektronikus gyújtórendszer (1 db AA elemmel működtetve, nem tartozék) lehetővé teszi a grill gyors és biztonságos begyújtását, míg a zománcozott fedélbe integrált hőmérő segítségével pontosan ellenőrizheti az étel hőmérsékletét. Az öntöttvas rácsok ideálisak a hozzávalók egyenletes és intenzív sütéséhez. A speciális melegen tartó rács segítségével az elkészült ételeket tökéletes hőmérsékleten tarthatja, míg a nagyméretű kerekeknek köszönhetően a grillt könnyedén mozgathatja. A mosogatógépben tisztítható csepegtetőedény egyszerűvé teszi a takarítást, míg a két összecsukható oldalasztal és a 3 tartozékkampó extra kényelmet és tárolási lehetőségeket biztosít grillezés közben.
Hogyan működik a Spring 2002 gázgrill?
A Spring 2002 gázgrill használata rendkívül egyszerű: nyissa ki a grill fedelét, nyissa meg a gázpalack csapot, és hagyja, hogy a gáz beáramoljon a grillbe. Fordítsa a szabályozógombokat a legmagasabb állásba, az elektronikus gyújtórendszer segítségével szikrát biztosíthat. Amint lát lángot, zárja be a fedelet, és hagyja, hogy a készülék 10-15 percig melegedjen. Ezután kezdődhet a grillezés! A propángáz használata ajánlott, ne felejtsen el megfelelő gázszabályozót vásárolni, amely csökkenti a gázpalack nyomását. Rendszeresen ellenőrizze a gázcső dátumát, mivel a szabványos gázcsövek élettartama 5-10 év.
A Spring 2002 gázgrill összegezve:
A Spring 2002 gázgrill a Spring sorozat legkisebb modellje, amely két égőfejjel és két, 24x43cm méretű ráccsal rendelkezik, ezzel körülbelül 8 személy számára biztosít grillezési lehetőséget. A két összecsukható oldalasztal - amelyek közül az egyik 3 praktikus tartozékkampóval van ellátva - extra kényelmet és tárolási lehetőségeket nyújt. A nagyméretű kerekeknek köszönhetően a grill könnyedén mozgatható, míg a mosogatógépben tisztítható csepegtetőedény egyszerűvé teszi a takarítást. A zománcozott fedél és az integrált hőmérő segítségével teljes ellenőrzést gyakorolhat az étel fölött, így a Spring 2002 gázgrill azok számára tökéletes választás, akik a grillezés kényelmét és kontrollját részesítik előnyben.
Hagyja hogy a Barbecook Spring 2002 elvarázsolja minden grillezés alkalmával.</t>
        </is>
      </c>
    </row>
    <row r="90">
      <c r="A90" s="3" t="inlineStr">
        <is>
          <t>BC-GAS-2002</t>
        </is>
      </c>
      <c r="B90" s="2" t="inlineStr">
        <is>
          <t>Barbecook BC-GAS-2002 Spring 3112 gázgrill, tárolóval, 133x57x115cm</t>
        </is>
      </c>
      <c r="C90" s="1" t="n">
        <v>133990.0</v>
      </c>
      <c r="D90" s="7" t="n">
        <f>HYPERLINK("https://www.somogyi.hu/product/barbecook-bc-gas-2002-spring-3112-gazgrill-taroloval-133x57x115cm-bc-gas-2002-18752","https://www.somogyi.hu/product/barbecook-bc-gas-2002-spring-3112-gazgrill-taroloval-133x57x115cm-bc-gas-2002-18752")</f>
        <v>0.0</v>
      </c>
      <c r="E90" s="7" t="n">
        <f>HYPERLINK("https://www.somogyi.hu/data/img/product_main_images/small/18752.jpg","https://www.somogyi.hu/data/img/product_main_images/small/18752.jpg")</f>
        <v>0.0</v>
      </c>
      <c r="F90" s="2" t="inlineStr">
        <is>
          <t>5400269209308</t>
        </is>
      </c>
      <c r="G90" s="4" t="inlineStr">
        <is>
          <t>Szeretne egy gázgrillt, amely könnyen kezelhető és sokoldalú? A Barbecook Spring 3112 gázgrill tökéletes választás azok számára, akik a teljes kerti főzési élményt szeretnék élvezni, de közben nagyra értékelik a kényelmet és a kontrollt. Ez a gázgrill tökéletes választás lehet a BBQ rajongók számára, akik különböző ételeket szeretnének készíteni egyszerűen és gyorsan.
A Spring 3112 gázgrill előnyei
A Spring 3112 gázgrill számos előnnyel rendelkezik. Gyorsan és egyszerűen meggyújtható, így nem kell időt veszítenie, rögtön kezdheti a grillezést. Megbízható eszköz, amellyel számos ételt készíthet: klasszikus BBQ kolbászt, pizzát vagy akár süteményt is. A zománcozott öntöttvas fedél és a beépített hőmérő segítségével maximális kontrollt tarthat a készüléke felett. A Spring 3112 gázgrill rácsai zománcozott öntöttvasból készültek, amelyek tökéletesen és egyenletesen sütik meg az összetevőket. Ha több összetevőt grillez egyszerre, és az egyik már kész, egyszerűen helyezze azt a melegen tartó rácsra, míg a többi elkészül! A fsütésből származó zsírok egy mosogatógépben tisztítható csepegtetőedényben gyűlnek össze, amely a gázgrillbe van integrálva. A Spring 3112 gázgrill két kerékkel rendelkezik, így könnyen mozgatható.
Hogyan működik a Spring 3112 gázgrill?
A Spring 3112 gázgrill meggyújtása rendkívül egyszerű. Először nyissa ki a gázgrill fedelét, majd nyissa meg a gázpalack szelepét. Hagyja, hogy a gáz keringjen a gázgrill belsejében. Ezután fordítsa a szabályozógombokat a legmagasabb állásba. Ezek a különböző égőfejekhez vannak csatlakoztatva. Amikor látja a lángot, zárja be a fedelet, és hagyja, hogy a készülék körülbelül 10-15 percig melegedjen. Ezután kezdődhet a grillezés! Gázgrillezés esetén javasolt propángázt használni. Ne felejtsen el hozzáillő gázszabályozót vásárolni, amely csökkenti a gázpalack nyomását. Győződjön meg róla, hogy rendszeresen ellenőrzi a gázcső lejárati dátumát. A szokásos gázcsövek élettartama 5-10 év.
A Spring 3112 gázgrill összegezve
A Spring 3112 gázgrill három égőfejjel és három ráccsal rendelkezik, mindegyik 21x43cm méretű. Ezzel a készülékkel körülbelül 10 személy számára grillezhet. A Spring 3112 gázgrill egy fix oldalasztallal rendelkezik. A másik oldalon egy beépített szervírozótál található. Továbbá a készülék egy ajtóval zárható tárolóval van felszerelve. 
Válassza a Barbecook Spring 3112 gázgrillt hogy Ön, családja valamint barátai mindig a megfelelő minőségű grill ételeket fogyaszthassák.</t>
        </is>
      </c>
    </row>
    <row r="91">
      <c r="A91" s="3" t="inlineStr">
        <is>
          <t>BC-GAS-2073</t>
        </is>
      </c>
      <c r="B91" s="2" t="inlineStr">
        <is>
          <t>Barbecook BC-GAS-2073 Siesta 412 Graphite gázgrill, tárolóval, oldalégővel, 132x56x118cm</t>
        </is>
      </c>
      <c r="C91" s="1" t="n">
        <v>289990.0</v>
      </c>
      <c r="D91" s="7" t="n">
        <f>HYPERLINK("https://www.somogyi.hu/product/barbecook-bc-gas-2073-siesta-412-graphite-gazgrill-taroloval-oldalegovel-132x56x118cm-bc-gas-2073-18811","https://www.somogyi.hu/product/barbecook-bc-gas-2073-siesta-412-graphite-gazgrill-taroloval-oldalegovel-132x56x118cm-bc-gas-2073-18811")</f>
        <v>0.0</v>
      </c>
      <c r="E91" s="7" t="n">
        <f>HYPERLINK("https://www.somogyi.hu/data/img/product_main_images/small/18811.jpg","https://www.somogyi.hu/data/img/product_main_images/small/18811.jpg")</f>
        <v>0.0</v>
      </c>
      <c r="F91" s="2" t="inlineStr">
        <is>
          <t>5404035700846</t>
        </is>
      </c>
      <c r="G91" s="4" t="inlineStr">
        <is>
          <t>Szeretne egy olyan gázgrillt, ami könnyű használatot és sokoldalúságot nyújt egyben? A Barbecook BC-GAS-2073 Siesta 412 Graphite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92">
      <c r="A92" s="3" t="inlineStr">
        <is>
          <t>BC-GAS-2031</t>
        </is>
      </c>
      <c r="B92" s="2" t="inlineStr">
        <is>
          <t>Barbecook BC-GAS-2031 Siesta 612 Black Edition gázgrill, tárolóval, oldalégővel, nyárs égőfejjel, 143x56x120cm</t>
        </is>
      </c>
      <c r="C92" s="1" t="n">
        <v>343990.0</v>
      </c>
      <c r="D92" s="7" t="n">
        <f>HYPERLINK("https://www.somogyi.hu/product/barbecook-bc-gas-2031-siesta-612-black-edition-gazgrill-taroloval-oldalegovel-nyars-egofejjel-143x56x120cm-bc-gas-2031-18810","https://www.somogyi.hu/product/barbecook-bc-gas-2031-siesta-612-black-edition-gazgrill-taroloval-oldalegovel-nyars-egofejjel-143x56x120cm-bc-gas-2031-18810")</f>
        <v>0.0</v>
      </c>
      <c r="E92" s="7" t="n">
        <f>HYPERLINK("https://www.somogyi.hu/data/img/product_main_images/small/18810.jpg","https://www.somogyi.hu/data/img/product_main_images/small/18810.jpg")</f>
        <v>0.0</v>
      </c>
      <c r="F92" s="2" t="inlineStr">
        <is>
          <t>5400269209452</t>
        </is>
      </c>
      <c r="G92" s="4" t="inlineStr">
        <is>
          <t>Szeretne egy olyan gázgrillt, ami könnyű használatot és sokoldalúságot nyújt egyben? A Barbecook BC-GAS-2031 Siesta 612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612 gázgrill előnyei közé tartozik a stílus, a funkciók és a felhasználóbarát kezelés. Ez a magas minőségű gázgrill tartós bevonattal, tökéletes választás azok számára, akik sokféle ételt szeretnének grillen elkészíteni. A Siesta 612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612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612 gázgrill kombinálható a Barbecook forgónyárs készletével is.
A Siesta 612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612 gázsütővel akár 16 főt is kiszolgálhat. Ez a készülék öt égővel és három ráccsal rendelkezik, egy 35x43 cm, kettő pedig 22,5x43 cm méretű. Tartozéka még a nyárs égőfej, mely oldalról melegíti pl. a forgónyárson sülő húst. Ezen kívül ez a gázsütő egy fix asztallal és egy oldalégővel rendelkezik, ideális szószok vagy köretek készítéséhez. A Siesta 612 gázsütő könnyen mozgatható a készülék alján található négy keréknek köszönhetően. Továbbá ez a gázsütő ajtókkal ellátott tárolóhellyel és külső gázpalacktartóval van felszerelve. A tárolóban megtalálható egy szemetesedény és palacktartó is.
Amennyiben egy kompakt de megbízható gázgrillt keres extra funkciókkal, úgy a Siesta 612 lesz Önnek a megfelelő választás.</t>
        </is>
      </c>
    </row>
    <row r="93">
      <c r="A93" s="3" t="inlineStr">
        <is>
          <t>BC-GAS-2014</t>
        </is>
      </c>
      <c r="B93" s="2" t="inlineStr">
        <is>
          <t>Barbecook BC-GAS-2014 Siesta 210 Black Edition gázgrill, oldalégővel, 112x56x118cm</t>
        </is>
      </c>
      <c r="C93" s="1" t="n">
        <v>155990.0</v>
      </c>
      <c r="D93" s="7" t="n">
        <f>HYPERLINK("https://www.somogyi.hu/product/barbecook-bc-gas-2014-siesta-210-black-edition-gazgrill-oldalegovel-112x56x118cm-bc-gas-2014-18809","https://www.somogyi.hu/product/barbecook-bc-gas-2014-siesta-210-black-edition-gazgrill-oldalegovel-112x56x118cm-bc-gas-2014-18809")</f>
        <v>0.0</v>
      </c>
      <c r="E93" s="7" t="n">
        <f>HYPERLINK("https://www.somogyi.hu/data/img/product_main_images/small/18809.jpg","https://www.somogyi.hu/data/img/product_main_images/small/18809.jpg")</f>
        <v>0.0</v>
      </c>
      <c r="F93" s="2" t="inlineStr">
        <is>
          <t>5400269209353</t>
        </is>
      </c>
      <c r="G93" s="4" t="inlineStr">
        <is>
          <t>Szeretne egy olyan gázgrillt, ami könnyű használatot és sokoldalúságot nyújt egyben? A Barbecook BC-GAS-2014 Siesta 210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210 gázgrill előnyei közé tartozik a stílus, a funkciók és a felhasználóbarát kezelés. Ez a magas minőségű gázgrill tartós bevonattal, tökéletes választás azok számára, akik sokféle ételt szeretnének grillen elkészíteni. A Siesta 210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210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210 gázgrill kombinálható a Barbecook forgónyárs készletével is.
A Siesta 210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210 gázgrill műszaki adatai: A Siesta 210 a Siesta modellek legkisebb változata. Azonban a "kicsi" szó félrevezető lehet, mivel ezzel a gázgrillel akár 8 főt is kiszolgálhat. Az eszköz két égővel és két ráccsal rendelkezik, amelyek méretei: 35 cm x 43 cm és 13,5 cm x 43 cm. Továbbá, a gázgrill egy rögzített oldalsó asztallal és egy oldalsó égőt is kapott, amely ideális szószok vagy köretek elkészítésére. A Siesta 210 gázgrill könnyen mozgatható a készülék alján található két nagy keréknek köszönhetően.
Kicsi a bors, de erős! Amennyiben egy kompakt de megbízható gázgrillt keres extra funkciókkal, úgy a Siesta 210 lesz Önnek a megfelelő választás.</t>
        </is>
      </c>
    </row>
    <row r="94">
      <c r="A94" s="3" t="inlineStr">
        <is>
          <t>BC-GAS-2018</t>
        </is>
      </c>
      <c r="B94" s="2" t="inlineStr">
        <is>
          <t>Barbecook BC-GAS-2018 Siesta 310 Black Edition gázgrill, oldalégővel, 124x56x120cm</t>
        </is>
      </c>
      <c r="C94" s="1" t="n">
        <v>213990.0</v>
      </c>
      <c r="D94" s="7" t="n">
        <f>HYPERLINK("https://www.somogyi.hu/product/barbecook-bc-gas-2018-siesta-310-black-edition-gazgrill-oldalegovel-124x56x120cm-bc-gas-2018-18747","https://www.somogyi.hu/product/barbecook-bc-gas-2018-siesta-310-black-edition-gazgrill-oldalegovel-124x56x120cm-bc-gas-2018-18747")</f>
        <v>0.0</v>
      </c>
      <c r="E94" s="7" t="n">
        <f>HYPERLINK("https://www.somogyi.hu/data/img/product_main_images/small/18747.jpg","https://www.somogyi.hu/data/img/product_main_images/small/18747.jpg")</f>
        <v>0.0</v>
      </c>
      <c r="F94" s="2" t="inlineStr">
        <is>
          <t>5400269207496</t>
        </is>
      </c>
      <c r="G94" s="4" t="inlineStr">
        <is>
          <t>Szeretne egy olyan gázgrillt, ami könnyű használatot és sokoldalúságot nyújt egyben? A Barbecook BC-GAS-2018 Siesta 310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310 gázgrill előnyei közé tartozik a stílus, a funkciók és a felhasználóbarát kezelés. Ez a magas minőségű gázgrill tartós bevonattal, tökéletes választás azok számára, akik sokféle ételt szeretnének grillen elkészíteni. A Siesta 310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310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310 gázgrill kombinálható a Barbecook forgónyárs készletével is.
A Siesta 310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310 gázgrill műszaki adatai: A Siesta 310 gázsütővel akár 12 főt is kiszolgálhat. Ez a készülék három égővel és három ráccsal rendelkezik, az egyik 35x43 cm, kettő pedig 13,5x43 cm méretű. Ezen kívül ez a gázsütő egy fix asztallal és egy oldalégővel rendelkezik, ideális szószok vagy köretek készítéséhez. A Siesta 310 gázsütő könnyen mozgatható a készülék alján található két nagy keréknek köszönhetően.
Amennyiben egy kompakt de megbízható gázgrillt keres extra funkciókkal, úgy a Siesta 310 lesz Önnek a megfelelő választás.</t>
        </is>
      </c>
    </row>
    <row r="95">
      <c r="A95" s="3" t="inlineStr">
        <is>
          <t>BC-GAS-2000</t>
        </is>
      </c>
      <c r="B95" s="2" t="inlineStr">
        <is>
          <t>Barbecook BC-GAS-2000 Spring 3002 gázgrill, 133x57x115cm</t>
        </is>
      </c>
      <c r="C95" s="1" t="n">
        <v>124990.0</v>
      </c>
      <c r="D95" s="7" t="n">
        <f>HYPERLINK("https://www.somogyi.hu/product/barbecook-bc-gas-2000-spring-3002-gazgrill-133x57x115cm-bc-gas-2000-18745","https://www.somogyi.hu/product/barbecook-bc-gas-2000-spring-3002-gazgrill-133x57x115cm-bc-gas-2000-18745")</f>
        <v>0.0</v>
      </c>
      <c r="E95" s="7" t="n">
        <f>HYPERLINK("https://www.somogyi.hu/data/img/product_main_images/small/18745.jpg","https://www.somogyi.hu/data/img/product_main_images/small/18745.jpg")</f>
        <v>0.0</v>
      </c>
      <c r="F95" s="2" t="inlineStr">
        <is>
          <t>5400269209285</t>
        </is>
      </c>
      <c r="G95" s="4" t="inlineStr">
        <is>
          <t>Szereti a gyors és egyszerű grillezést anélkül, hogy kompromisszumot kellene kötnie a sokoldalúság terén? Akkor a Barbecook BC-GAS-2000 Spring 3002 gázgrill pontosan Önnek való! 
Ez a gázgrill a nagyon felhasználóbarát, a sokféleség mintaképe. A Barbecook különböző gázgrill modelljei közül a Spring sorozat kiemelkedik minőségével, könnyű használatával és gyönyörű megjelenésével. A Spring 3002-es modell a Spring sorozat egyik kiemelt tagja, többféle formátumban elérhető: Spring 2002, 3002, 3112 és 3212.
A Spring 3002 gázgrill előnyei közé tartozik az egyszerű és gyors gyújtás, ami lehetővé teszi, hogy azonnal elkezdje a grillezést. Ez a típusú grill kiválóan alkalmas számos különböző étel elkészítésére: legyen szó klasszikus BBQ kolbászról, pizzáról vagy akár süteményről. A zománcozott fedél és a beépített hőmérő segítségével maximális kontrollt biztosít ételei felett. A Spring 3002 gázgrill rácsai zománcozott öntöttvasból készültek, tökéletesek az alapanyagok egyenletes és jól sütéséhez. Ha több alapanyagot grillez egyszerre, és az egyik már elkészült, egyszerűen helyezze a melegen tartó rácsra, amíg a többi is megsül. A lecsöpögő zsír egy mosogatógépben mosható csepegtető tálcába gyűlnek össze, ami a grill része. A Spring 3002 gázgrill két kerékkel van ellátva, így könnyen mozgatható.
A Spring 3002 gázgrill használata rendkívül egyszerű. Nyissa ki a grill fedelét, nyissa meg a gázpalack csapját, és hagyja, hogy áramoljon a grillben a gáz. Ezután tekerje a vezérlőgombokat a legmagasabb állásba. Amikor látja a lángot, zárja be a fedelet, és hagyja a készüléket felmelegedni kb. 10-15 percig. Ezután kezdődhet a grillezés! A gázgrill használata során ajánlott propán gázt használni, és ne felejtse el a megfelelő gázszabályozót beszerezni, ami csökkenti a gázpalack nyomását.
A Spring 3002 gázgrill műszaki adatai: Három égővel és három, 21 cm x 43 cm méretű ráccsal rendelkezik, amellyel körülbelül 10 fő számára szolgálhat fel finomságokat. Két fix oldalsó asztallal rendelkezik, amelyek kényelmes helyet biztosítanak a kiegészítőknek, fűszereknek vagy hozzávalókkal teli tányéroknak. Ezen felül kombinálható a Barbecook forgónyárs készletével is, így még több lehetőséget kínálva a grillezés során.
Ne érje be kevesebbel! A Barbecook Spring 3002 megfelelő társ a grillezésben.</t>
        </is>
      </c>
    </row>
    <row r="96">
      <c r="A96" s="6" t="inlineStr">
        <is>
          <t xml:space="preserve">   Grillezés / Faszenes grill</t>
        </is>
      </c>
      <c r="B96" s="6" t="inlineStr">
        <is>
          <t/>
        </is>
      </c>
      <c r="C96" s="6" t="inlineStr">
        <is>
          <t/>
        </is>
      </c>
      <c r="D96" s="6" t="inlineStr">
        <is>
          <t/>
        </is>
      </c>
      <c r="E96" s="6" t="inlineStr">
        <is>
          <t/>
        </is>
      </c>
      <c r="F96" s="6" t="inlineStr">
        <is>
          <t/>
        </is>
      </c>
      <c r="G96" s="6" t="inlineStr">
        <is>
          <t/>
        </is>
      </c>
    </row>
    <row r="97">
      <c r="A97" s="3" t="inlineStr">
        <is>
          <t>10-186-005</t>
        </is>
      </c>
      <c r="B97" s="2" t="inlineStr">
        <is>
          <t>Blim  Faszénbegyújtó</t>
        </is>
      </c>
      <c r="C97" s="1" t="n">
        <v>4490.0</v>
      </c>
      <c r="D97" s="7" t="n">
        <f>HYPERLINK("https://www.somogyi.hu/product/blim-faszenbegyujto-10-186-005-18229","https://www.somogyi.hu/product/blim-faszenbegyujto-10-186-005-18229")</f>
        <v>0.0</v>
      </c>
      <c r="E97" s="7" t="n">
        <f>HYPERLINK("https://www.somogyi.hu/data/img/product_main_images/small/18229.jpg","https://www.somogyi.hu/data/img/product_main_images/small/18229.jpg")</f>
        <v>0.0</v>
      </c>
      <c r="F97" s="2" t="inlineStr">
        <is>
          <t>5205746123630</t>
        </is>
      </c>
      <c r="G97" s="4" t="inlineStr">
        <is>
          <t xml:space="preserve"> • jellemzők: műanyag fül • hővédő lap 
 • anyaga: horganyzott acél 
 • méret: átmérő: 15 cm, magasság: 27 cm</t>
        </is>
      </c>
    </row>
    <row r="98">
      <c r="A98" s="3" t="inlineStr">
        <is>
          <t>BC-CHA-1062</t>
        </is>
      </c>
      <c r="B98" s="2" t="inlineStr">
        <is>
          <t>Barbecook BC-CHA-1062 Kamal kamado 60/XL matt faszenes grill</t>
        </is>
      </c>
      <c r="C98" s="1" t="n">
        <v>446990.0</v>
      </c>
      <c r="D98" s="7" t="n">
        <f>HYPERLINK("https://www.somogyi.hu/product/barbecook-bc-cha-1062-kamal-kamado-60-xl-matt-faszenes-grill-bc-cha-1062-18804","https://www.somogyi.hu/product/barbecook-bc-cha-1062-kamal-kamado-60-xl-matt-faszenes-grill-bc-cha-1062-18804")</f>
        <v>0.0</v>
      </c>
      <c r="E98" s="7" t="n">
        <f>HYPERLINK("https://www.somogyi.hu/data/img/product_main_images/small/18804.jpg","https://www.somogyi.hu/data/img/product_main_images/small/18804.jpg")</f>
        <v>0.0</v>
      </c>
      <c r="F98" s="2" t="inlineStr">
        <is>
          <t>5420059857274</t>
        </is>
      </c>
      <c r="G98" s="4" t="inlineStr">
        <is>
          <t>Egy olyan grillt keres, amellyel szinte mindent meg tud csinálni, ráadásul rendkívül felhasználóbarát? Akkor a Barbecook BC-CHA-1062 Kamal kamado 60/XL matt faszenes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matt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99">
      <c r="A99" s="3" t="inlineStr">
        <is>
          <t>BC-CHA-1019</t>
        </is>
      </c>
      <c r="B99" s="2" t="inlineStr">
        <is>
          <t>Barbecook BC-CHA-1019 Carlo asztali faszenes grill, piros, 44x33x21cm</t>
        </is>
      </c>
      <c r="C99" s="1" t="n">
        <v>73990.0</v>
      </c>
      <c r="D99" s="7" t="n">
        <f>HYPERLINK("https://www.somogyi.hu/product/barbecook-bc-cha-1019-carlo-asztali-faszenes-grill-piros-44x33x21cm-bc-cha-1019-18751","https://www.somogyi.hu/product/barbecook-bc-cha-1019-carlo-asztali-faszenes-grill-piros-44x33x21cm-bc-cha-1019-18751")</f>
        <v>0.0</v>
      </c>
      <c r="E99" s="7" t="n">
        <f>HYPERLINK("https://www.somogyi.hu/data/img/product_main_images/small/18751.jpg","https://www.somogyi.hu/data/img/product_main_images/small/18751.jpg")</f>
        <v>0.0</v>
      </c>
      <c r="F99" s="2" t="inlineStr">
        <is>
          <t>5400269210908</t>
        </is>
      </c>
      <c r="G99" s="4" t="inlineStr">
        <is>
          <t>Szeretne grillezni a városi parkban, a kempingben vagy akár a teraszán? A Barbecook BC-CHA-1019 Carlo chili piros asztali faszenes grill lehetőséget kínál a szabadtéri főzés újraértelmezésére, ahol és amikor csak szeretné! 
Ez a hordozható, színes grill tökéletes választás a spontán barbecue partikhoz, legyen szó napfény sárgáról, égbolt kékéről, chili paprika pirosról, városi szürkéről vagy military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BC-CHA-1019 Carlo chili piros asztali faszenes grillt, hogy tökéletes legyen a kikapcsolódás!</t>
        </is>
      </c>
    </row>
    <row r="100">
      <c r="A100" s="3" t="inlineStr">
        <is>
          <t>BC-CHA-1018</t>
        </is>
      </c>
      <c r="B100" s="2" t="inlineStr">
        <is>
          <t>Barbecook BC-CHA-1018 Carlo asztali faszenes grill, zöld, 44x33x21cm</t>
        </is>
      </c>
      <c r="C100" s="1" t="n">
        <v>73990.0</v>
      </c>
      <c r="D100" s="7" t="n">
        <f>HYPERLINK("https://www.somogyi.hu/product/barbecook-bc-cha-1018-carlo-asztali-faszenes-grill-zold-44x33x21cm-bc-cha-1018-18735","https://www.somogyi.hu/product/barbecook-bc-cha-1018-carlo-asztali-faszenes-grill-zold-44x33x21cm-bc-cha-1018-18735")</f>
        <v>0.0</v>
      </c>
      <c r="E100" s="7" t="n">
        <f>HYPERLINK("https://www.somogyi.hu/data/img/product_main_images/small/18735.jpg","https://www.somogyi.hu/data/img/product_main_images/small/18735.jpg")</f>
        <v>0.0</v>
      </c>
      <c r="F100" s="2" t="inlineStr">
        <is>
          <t>5400269210922</t>
        </is>
      </c>
      <c r="G100" s="4" t="inlineStr">
        <is>
          <t>Szeretne grillezni a városi parkban, a kempingben vagy akár a teraszán? A Barbecook BC-CHA-1018 Carlo katonai zöld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BC-CHA-1018 Carlo zöld asztali faszenes grillt, hogy tökéletes legyen a kikapcsolódás!</t>
        </is>
      </c>
    </row>
    <row r="101">
      <c r="A101" s="3" t="inlineStr">
        <is>
          <t>BC-CHA-1015</t>
        </is>
      </c>
      <c r="B101" s="2" t="inlineStr">
        <is>
          <t>Barbecook BC-CHA-1015 Carlo asztali faszenes grill, szürke, 44x33x21cm</t>
        </is>
      </c>
      <c r="C101" s="1" t="n">
        <v>73990.0</v>
      </c>
      <c r="D101" s="7" t="n">
        <f>HYPERLINK("https://www.somogyi.hu/product/barbecook-bc-cha-1015-carlo-asztali-faszenes-grill-szurke-44x33x21cm-bc-cha-1015-18718","https://www.somogyi.hu/product/barbecook-bc-cha-1015-carlo-asztali-faszenes-grill-szurke-44x33x21cm-bc-cha-1015-18718")</f>
        <v>0.0</v>
      </c>
      <c r="E101" s="7" t="n">
        <f>HYPERLINK("https://www.somogyi.hu/data/img/product_main_images/small/18718.jpg","https://www.somogyi.hu/data/img/product_main_images/small/18718.jpg")</f>
        <v>0.0</v>
      </c>
      <c r="F101" s="2" t="inlineStr">
        <is>
          <t>5400269209278</t>
        </is>
      </c>
      <c r="G101" s="4" t="inlineStr">
        <is>
          <t>Szeretne grillezni a városi parkban, a kempingben vagy akár a teraszán? A Barbecook BC-CHA-1015 Carlo városi szürke asztali faszenes grill lehetőséget kínál a szabadtéri főzés újraértelmezésére, ahol és amikor csak szeretné! 
Ez a hordozható, színes grill tökéletes választás a spontán barbecue partikhoz, legyen szó napfény sárgáról,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BC-CHA-1015 Carlo szürke asztali faszenes grillt, hogy tökéletes legyen a kikapcsolódás!</t>
        </is>
      </c>
    </row>
    <row r="102">
      <c r="A102" s="3" t="inlineStr">
        <is>
          <t>GR02</t>
        </is>
      </c>
      <c r="B102" s="2" t="inlineStr">
        <is>
          <t>Home GR02 fedeles gömbgrill, faszén, faszénbrikett, zománcozott acél tűztér, krómozott acél rostély, korrózióálló, rozsdamentes hamugyűjtő tálca</t>
        </is>
      </c>
      <c r="C102" s="1" t="n">
        <v>19590.0</v>
      </c>
      <c r="D102" s="7" t="n">
        <f>HYPERLINK("https://www.somogyi.hu/product/home-gr02-fedeles-gombgrill-faszen-faszenbrikett-zomancozott-acel-tuzter-kromozott-acel-rostely-korrozioallo-rozsdamentes-hamugyujto-talca-gr02-18395","https://www.somogyi.hu/product/home-gr02-fedeles-gombgrill-faszen-faszenbrikett-zomancozott-acel-tuzter-kromozott-acel-rostely-korrozioallo-rozsdamentes-hamugyujto-talca-gr02-18395")</f>
        <v>0.0</v>
      </c>
      <c r="E102" s="7" t="n">
        <f>HYPERLINK("https://www.somogyi.hu/data/img/product_main_images/small/18395.jpg","https://www.somogyi.hu/data/img/product_main_images/small/18395.jpg")</f>
        <v>0.0</v>
      </c>
      <c r="F102" s="2" t="inlineStr">
        <is>
          <t>5999084964139</t>
        </is>
      </c>
      <c r="G102" s="4" t="inlineStr">
        <is>
          <t>Fedezze fel a grillezés új dimenzióit a Home GR02 fedeles gömbgrill segítségével! Akár faszén, akár faszénbrikett az Ön választása, ez a grill tökéletes társ lesz az udvaron vagy a kertben történő grillezéshez. A zománcozott, könnyen tisztítható fedél és tűztér garantálja, hogy az eszköz évekig megőrzi újszerű állapotát, míg a korrózióállóság hosszú távú befektetést jelent. Méretei, 48 x 87 x 60 cm, ideálisak minden típusú kerti összejövetelhez.
A grill szíve egy 46,5 cm átmérőjű tűztér, melyet zománcozott acélból készítettek, így ellenáll a magas hőmérsékletnek és könnyen tisztítható. A krómozott acélból készült rostély, melynek átmérője 43,5 cm, tökéletes hőeloszlást biztosít a húsok és zöldségek egyenletes sütéséhez. A grill rostély magassága 64 cm-re található a talajtól, kényelmes grillezést tesz lehetővé állva is.
A rozsdamentes hamugyűjtő tálca, a levegőszabályozó korong a fedélen és a tűztér alatt, valamint a három fa fogantyú mind hozzájárulnak a használat egyszerűségéhez és biztonságához. A szürkére porfestett lábak és a könnyedén gördíthető kerekek megkönnyítik a grill mozgatását, így bárhová viheti, ahol csak szeretné. Mindez mindössze 4,7 kg tömegű, így szállítása sem okoz gondot.
Tegyen szert a Home GR02 fedeles gömbgrillre, és élvezze a grillezés minden örömét kényelmesen, stílusosan és hatékonyan. Grillezésre fel, hívja meg barátait vagy családját egy felejthetetlen kerti partira akár még ma!</t>
        </is>
      </c>
    </row>
    <row r="103">
      <c r="A103" s="3" t="inlineStr">
        <is>
          <t>BC-CHA-1069</t>
        </is>
      </c>
      <c r="B103" s="2" t="inlineStr">
        <is>
          <t>Barbecook BC-CHA-1069 Magnus prémium faszenes grill, fekete, 85x64x110cm</t>
        </is>
      </c>
      <c r="C103" s="1" t="n">
        <v>200990.0</v>
      </c>
      <c r="D103" s="7" t="n">
        <f>HYPERLINK("https://www.somogyi.hu/product/barbecook-bc-cha-1069-magnus-premium-faszenes-grill-fekete-85x64x110cm-bc-cha-1069-18750","https://www.somogyi.hu/product/barbecook-bc-cha-1069-magnus-premium-faszenes-grill-fekete-85x64x110cm-bc-cha-1069-18750")</f>
        <v>0.0</v>
      </c>
      <c r="E103" s="7" t="n">
        <f>HYPERLINK("https://www.somogyi.hu/data/img/product_main_images/small/18750.jpg","https://www.somogyi.hu/data/img/product_main_images/small/18750.jpg")</f>
        <v>0.0</v>
      </c>
      <c r="F103" s="2" t="inlineStr">
        <is>
          <t>5404035700778</t>
        </is>
      </c>
      <c r="G103" s="4" t="inlineStr">
        <is>
          <t>Egy igazán sokoldalú faszenes grillt keres, ami minden grillezési igényt kielégít? A Barbecook BC-CHA-1069 Magnus faszenes grill pontosan az, amire szüksége van. 
Ezzel a prémium kategóriás grillkészülékkel, mely rugalmas XL méretű öntöttvas rácsokkal rendelkezik, akár 14 főt is kiszolgálhat, így garantáltan a családi és baráti összejövetelek középpontjába kerül.
A készülék csuklós fedele, mely puha tapintású fogantyúval van ellátva, lehetővé teszi a hő megőrzését és az étel egyenletes sütését. Az 1mm vastagságú zománcozott acél tűztér hosszú távú használatot és kiváló hőmegtartást biztosít. A fedélbe integrált hőmérőnek köszönhetően pontos információkat kaphat az aktuális hőmérsékletről. A nagy teherbírású kerekeknek köszönhetően a grill könnyen mozgatható, míg az extra széles alap maximális stabilitást nyújt, így nem kell aggódnia a grill megdőlése miatt.
A Barbecook Magnus 90 cm-es tökéletesen ergonomikus sütési magassága kényelmes grillezést tesz lehetővé hosszabb időn keresztül is. A porszórt oldalasztalok nemcsak kényelmes munkafelületet biztosítanak, hanem rozsdamentes acél horgokkal is felszereltek, így grillezési eszközei mindig kéznél lesznek. A beüzemelés sosem volt egyszerűbb: a zománcozott szénindító és a rozsdamentes acél szénkosarak segítségével a grill elindítása és a szenek megfelelő elosztása gyerekjáték. Töltse fel a grillt minőségi faszenekkel, és élvezze a problémamentes grillezést, miközben a kedvenc ételeit készíti.
Ne hagyja ki a lehetőséget, hogy a Barbecook BC-CHA-1069 Magnus prémium faszenes grill segítségével felejthetetlen élményeket szerezzen!</t>
        </is>
      </c>
    </row>
    <row r="104">
      <c r="A104" s="3" t="inlineStr">
        <is>
          <t>BC-CHA-1007</t>
        </is>
      </c>
      <c r="B104" s="2" t="inlineStr">
        <is>
          <t>Barbecook BC-CHA-1007 Loewy 45 zománcozott faszenes grill, fekete, 43cm átmérő</t>
        </is>
      </c>
      <c r="C104" s="1" t="n">
        <v>53990.0</v>
      </c>
      <c r="D104" s="7" t="n">
        <f>HYPERLINK("https://www.somogyi.hu/product/barbecook-bc-cha-1007-loewy-45-zomancozott-faszenes-grill-fekete-43cm-atmero-bc-cha-1007-18800","https://www.somogyi.hu/product/barbecook-bc-cha-1007-loewy-45-zomancozott-faszenes-grill-fekete-43cm-atmero-bc-cha-1007-18800")</f>
        <v>0.0</v>
      </c>
      <c r="E104" s="7" t="n">
        <f>HYPERLINK("https://www.somogyi.hu/data/img/product_main_images/small/18800.jpg","https://www.somogyi.hu/data/img/product_main_images/small/18800.jpg")</f>
        <v>0.0</v>
      </c>
      <c r="F104" s="2" t="inlineStr">
        <is>
          <t>5400269202255</t>
        </is>
      </c>
      <c r="G104" s="4" t="inlineStr">
        <is>
          <t>Szeretne egy autentikus grillezési élményt, ahol mindent egyszerűen irányíthat? A Barbecook BC-CHA-1007 Loewy 45 zománcozott faszenes grill minden igényt kielégítő választás a grillezés szerelmeseinek. 
Ez a grill az állítható magasságú rácsnak köszönhetően lehetővé teszi az intenzív és finom sütést három különböző magassági szinten, valamint az állítható légbevezető rendszerrel tökéletesen irányíthatja a tüzet.
A Loewy 45 jellegzetes szélvédőjével nem kell aggódnia a szél miatt, míg a rozsdamentes acél sütőrács kiemelkedő tartósságot és könnyű tisztíthatóságot kínál. A QuickStart® és QuickStop rendszereknek köszönhetően a grill gyújtása és leállítása gyerekjáték. A hamugyűjtővel és a masszív tartóval a biztonság és a kiegészítők tárolása is megoldott.
A Loewy 45 faszenes grill használata egyszerű: a QuickStart® rendszerrel percek alatt meggyújthatja. Csak helyezzen be néhány összegöngyölt újságpapírt a gyújtócsőbe, majd a grill aljába faszén vagy brikett kerüljön. Az állítható légbevezetővel biztosíthatja a megfelelő légáramlást, majd a gyújtócsövön keresztül gyújtsa meg az újságpapírt. Körülbelül 15 perc múlva a faszén/brikett fehéren izzik, és kezdődhet a grillezés. A QuickStop rendszerrel a sütés befejezése után egyszerűen és biztonságosan olthatja el a parazsat.
A Loewy 45 jellemzői között szerepel a 97 cm magasság, a 43 cm átmérőjű rozsdamentes acél sütőrács, ami akár 6 személy számára is elegendő grillezési felületet biztosít. Fekete színű, zománcozott acélból készült grillünk mind a QuickStart®, mind a QuickStop rendszerrel rendelkezik, így garantálva a könnyű használatot és a tisztítást.
Ismerje meg a Barbecook Loewy 45 faszenes grill előnyeit, és váltsa valóra grillezési álmait egy olyan eszközzel, ami nemcsak praktikus, de stílusos kiegészítője lehet bármelyik kertnek vagy terasznak. Kezdődjön a grillezés a Loewy 45-tel már ma!</t>
        </is>
      </c>
    </row>
    <row r="105">
      <c r="A105" s="3" t="inlineStr">
        <is>
          <t>10-186-215</t>
        </is>
      </c>
      <c r="B105" s="2" t="inlineStr">
        <is>
          <t>Nava 10-186-215 BBQ Guru hordozható zománcozott grill, 33 cm átmérő</t>
        </is>
      </c>
      <c r="C105" s="1" t="n">
        <v>4941.0</v>
      </c>
      <c r="D105" s="7" t="n">
        <f>HYPERLINK("https://www.somogyi.hu/product/nava-10-186-215-bbq-guru-hordozhato-zomancozott-grill-33-cm-atmero-10-186-215-18670","https://www.somogyi.hu/product/nava-10-186-215-bbq-guru-hordozhato-zomancozott-grill-33-cm-atmero-10-186-215-18670")</f>
        <v>0.0</v>
      </c>
      <c r="E105" s="7" t="n">
        <f>HYPERLINK("https://www.somogyi.hu/data/img/product_main_images/small/18670.jpg","https://www.somogyi.hu/data/img/product_main_images/small/18670.jpg")</f>
        <v>0.0</v>
      </c>
      <c r="F105" s="2" t="inlineStr">
        <is>
          <t>5205746002270</t>
        </is>
      </c>
      <c r="G105" s="4" t="inlineStr">
        <is>
          <t>Ön is azok közé tartozik, akik nem tudnak ellenállni egy jó barbecue hívó szavának, az utazás során? A Nava 10-186-215 BBQ Guru hordozható zománcozott grillel mostantól bárhol élvezheti a grillezés örömeit. 
Ez a kompakt, könnyen szállítható és egyszerűen összeállítható faszenes grill tökéletes választás azok számára, akik szeretik a kültéri sütögetést, legyen szó gyors és egyszerű használatról az udvaron vagy a balkonon. A grill 29  cm átmérőjű sütőráccsal és 9,5  cm magas szélvédővel van felszerelve, ami védelmet nyújt a szél ellen. Négy különböző sütési pozícióban helyezhető el, így garantálva, hogy a húsok a megfelelő hőmérsékleten süthetők meg. Ha Ön is a faszenes grillezés híve, ez a praktikus kis grill az, amire szüksége van a garantált sikerhez.
Néhány tipp, hogy sokáig és biztonságosan használhassa a terméket:
* Helyezze a grillt szélvédett helyre.
* Soha ne használja beltérben.
* Tartsa a grillt biztonságos távolságra, legalább 2 méterre a gyúlékony anyagoktól.
* FIGYELEM! A használat során ne mozdítsa el a grillt.
* Óvatosan! Soha ne használjon alkoholt vagy petróleumot a tűz gyújtásához.
* Soha ne hagyja felügyelet nélkül a grillt.
* Tartsa távol a gyermekeket és az állatokat a működő grilltől.
* Minden használat után várja meg, amíg a szén teljesen kialszik. Csak ezután biztonságos a tisztítás.
* Mossa meg a rácsot és tisztítsa meg a NAVA GURU grillt tisztító kefével.
* A következő használat előtt győződjön meg arról, hogy nincsenek hamumaradványok az előző használatból.
* 
A Nava BBQ Guru hordozható zománcozott grill az Ön tökéletes társa lesz minden kalandban.</t>
        </is>
      </c>
    </row>
    <row r="106">
      <c r="A106" s="3" t="inlineStr">
        <is>
          <t>BC-CHA-1061</t>
        </is>
      </c>
      <c r="B106" s="2" t="inlineStr">
        <is>
          <t>Barbecook BC-CHA-1061 Kamal kamado 60/XL faszenes grill</t>
        </is>
      </c>
      <c r="C106" s="1" t="n">
        <v>446990.0</v>
      </c>
      <c r="D106" s="7" t="n">
        <f>HYPERLINK("https://www.somogyi.hu/product/barbecook-bc-cha-1061-kamal-kamado-60-xl-faszenes-grill-bc-cha-1061-18803","https://www.somogyi.hu/product/barbecook-bc-cha-1061-kamal-kamado-60-xl-faszenes-grill-bc-cha-1061-18803")</f>
        <v>0.0</v>
      </c>
      <c r="E106" s="7" t="n">
        <f>HYPERLINK("https://www.somogyi.hu/data/img/product_main_images/small/18803.jpg","https://www.somogyi.hu/data/img/product_main_images/small/18803.jpg")</f>
        <v>0.0</v>
      </c>
      <c r="F106" s="2" t="inlineStr">
        <is>
          <t>5420059857267</t>
        </is>
      </c>
      <c r="G106" s="4" t="inlineStr">
        <is>
          <t>Egy olyan grillt keres, amellyel szinte mindent meg tud csinálni, ráadásul rendkívül felhasználóbarát? Akkor a Barbecook Kamal kamado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fényes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107">
      <c r="A107" s="3" t="inlineStr">
        <is>
          <t>BC-CHA-1016</t>
        </is>
      </c>
      <c r="B107" s="2" t="inlineStr">
        <is>
          <t>Barbecook BC-CHA-1016 Carlo asztali faszenes grill, sárga, 44x33x21cm</t>
        </is>
      </c>
      <c r="C107" s="1" t="n">
        <v>73990.0</v>
      </c>
      <c r="D107" s="7" t="n">
        <f>HYPERLINK("https://www.somogyi.hu/product/barbecook-bc-cha-1016-carlo-asztali-faszenes-grill-sarga-44x33x21cm-bc-cha-1016-18734","https://www.somogyi.hu/product/barbecook-bc-cha-1016-carlo-asztali-faszenes-grill-sarga-44x33x21cm-bc-cha-1016-18734")</f>
        <v>0.0</v>
      </c>
      <c r="E107" s="7" t="n">
        <f>HYPERLINK("https://www.somogyi.hu/data/img/product_main_images/small/18734.jpg","https://www.somogyi.hu/data/img/product_main_images/small/18734.jpg")</f>
        <v>0.0</v>
      </c>
      <c r="F107" s="2" t="inlineStr">
        <is>
          <t>5400269204563</t>
        </is>
      </c>
      <c r="G107" s="4" t="inlineStr">
        <is>
          <t>Szeretne grillezni a városi parkban, a kempingben vagy akár a teraszán? A Barbecook BC-CHA-1016 Carlo napfény sárga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BC-CHA-1016 Carlo sárga asztali faszenes grillt, hogy tökéletes legyen a kikapcsolódás!</t>
        </is>
      </c>
    </row>
    <row r="108">
      <c r="A108" s="3" t="inlineStr">
        <is>
          <t>BC-CHA-1004</t>
        </is>
      </c>
      <c r="B108" s="2" t="inlineStr">
        <is>
          <t>Barbecook BC-CHA-1004 Loewy 55 SST rozsdamentes acél faszenes grill, 55x33x101cm</t>
        </is>
      </c>
      <c r="C108" s="1" t="n">
        <v>93990.0</v>
      </c>
      <c r="D108" s="7" t="n">
        <f>HYPERLINK("https://www.somogyi.hu/product/barbecook-bc-cha-1004-loewy-55-sst-rozsdamentes-acel-faszenes-grill-55x33x101cm-bc-cha-1004-18799","https://www.somogyi.hu/product/barbecook-bc-cha-1004-loewy-55-sst-rozsdamentes-acel-faszenes-grill-55x33x101cm-bc-cha-1004-18799")</f>
        <v>0.0</v>
      </c>
      <c r="E108" s="7" t="n">
        <f>HYPERLINK("https://www.somogyi.hu/data/img/product_main_images/small/18799.jpg","https://www.somogyi.hu/data/img/product_main_images/small/18799.jpg")</f>
        <v>0.0</v>
      </c>
      <c r="F108" s="2" t="inlineStr">
        <is>
          <t>5400269207465</t>
        </is>
      </c>
      <c r="G108" s="4" t="inlineStr">
        <is>
          <t>Kíváncsi egy igazán autentikus grillezési élményre? A Barbecook Loewy 55 SST rozsdamentes acél faszenes grill minden grillezési stílushoz alkalmazkodik, hála a 3 szinten állítható sütőrácsának. Tökéletes tűzkontrollt biztosít az állítható légellátásnak köszönhetően, míg a szélvédő gondoskodik arról, hogy semmi se zavarhassa a grillezést.
A rozsdamentes acél sütőrács nem csak tartós, de könnyen tisztítható is. A QuickStart® és QuickStop rendszernek köszönhetően a grill gyorsan meggyújtható és biztonságosan lezárható, míg a hamutartó edény gondoskodik a tisztaságról. A Barbecook ikonikus faszenes grillsorozatának zászlóshajója, a Loewy, elegáns kivitelezésével minden szívet megdobogtat.
Mi teszi különlegessé a Loewy 55 SST faszenes grillt?
A faszenes grill gyújtása sosem volt egyszerűbb, mint a Loewy 55 SST modellel, köszönhetően a QuickStart® rendszernek. Néhány papír és a megfelelő technika segítségével a grillezés pillanatok alatt elkezdődhet. Az állítható magasságú sütőrácsnak és a finoman szabályozható légellátásnak köszönhetően minden előkészített étel tökéletesre sül. A szélvédővel felszerelt grill szinte bármilyen időjárásban megállja a helyét, míg a rozsdamentes acél sütőrács garantálja a hosszú élettartamot.
Hogyan működik a Loewy 55 SST faszenes grill?
A QuickStart® &amp; QuickStop rendszerrel a faszenes grill használata rendkívül egyszerű. A gyújtás után, a grillen készült ételek intenzív vagy finom sütése is lehetséges az állítható sütőrácsoknak köszönhetően. A QuickStop rendszerrel a sütés végén a parazsat egyszerűen és biztonságosan eloltjuk. A Loewy 55 SST, 101 cm magasságú faszenes grill, 10 fő részére elegendő sütőfelülettel rendelkezik, és mind a QuickStart®, mind a QuickStop rendszert tartalmazza.
Fedezze fel a Loewy 55 SST faszenes grill minden előnyét, és váltsa valóra az autentikus grillezési élményt már ma!</t>
        </is>
      </c>
    </row>
    <row r="109">
      <c r="A109" s="3" t="inlineStr">
        <is>
          <t>BC-CHA-1008</t>
        </is>
      </c>
      <c r="B109" s="2" t="inlineStr">
        <is>
          <t>Barbecook BC-CHA-1008 Loewy 50 zománcozott faszenes grill, fekete, 47,5cm átmérő</t>
        </is>
      </c>
      <c r="C109" s="1" t="n">
        <v>71990.0</v>
      </c>
      <c r="D109" s="7" t="n">
        <f>HYPERLINK("https://www.somogyi.hu/product/barbecook-bc-cha-1008-loewy-50-zomancozott-faszenes-grill-fekete-47-5cm-atmero-bc-cha-1008-18742","https://www.somogyi.hu/product/barbecook-bc-cha-1008-loewy-50-zomancozott-faszenes-grill-fekete-47-5cm-atmero-bc-cha-1008-18742")</f>
        <v>0.0</v>
      </c>
      <c r="E109" s="7" t="n">
        <f>HYPERLINK("https://www.somogyi.hu/data/img/product_main_images/small/18742.jpg","https://www.somogyi.hu/data/img/product_main_images/small/18742.jpg")</f>
        <v>0.0</v>
      </c>
      <c r="F109" s="2" t="inlineStr">
        <is>
          <t>5400269202187</t>
        </is>
      </c>
      <c r="G109" s="4" t="inlineStr">
        <is>
          <t>Szeretne egy valódi grillezési élményben részesülni? A Barbecook Loewy 50 zománcozott faszenes grill lehet az Ön számára a tökéletes választás, amely intenzív és finom grillezést tesz lehetővé a három szinten állítható sütőráccsal. A tűz tökéletes irányítását az állítható légbeáramlás biztosítja, míg a szélfogó megvédi a lángot az erős széltől.
A rozsdamentes acél sütőrács rendkívül tartós és könnyen karbantartható, így a Loewy 50 hosszú távú társa lehet a grillezésben. A QuickStart® és QuickStop rendszernek köszönhetően a faszenes grill használata egyszerű és biztonságos. A hamutartó edény és a stabil tartórendszer gondoskodik a biztonságról és a kiegészítők tárolásáról.
Mi teszi különlegessé a Loewy 50 faszenes grillt?
A faszenes grill gyújtása gyakran kihívást jelenthet, de a Loewy 50 QuickStart® rendszerével ez gyerekjáték. Csak néhány papír és a helyes technika szükséges, és a grillezés már kezdődhet is. Az állítható magasságú sütőrács és a légbeáramlás szabályozása lehetővé teszi, hogy tökéletes ellenőrzést gyakoroljon a tűz felett. Ha széllel küzd, a Loewy 50 szélvédője megvédi a grillt, de ha teljesen biztosra akar menni, használja a Barbecook kupolát, amely fedélként funkcionál és tükröződő hatása biztosítja az ételek tökéletes sikerét.
Hogyan működik a Loewy 50 faszenes grill?
A QuickStart® &amp; QuickStop rendszerrel a Loewy 50 faszenes grill könnyedén meggyújtható és biztonságosan használható. A grillezés befejezése után egyszerűen öblítse le a grill alját vízzel a QuickStop rendszer segítségével, így biztonságosan eloltja a parazsat. A Loewy 50 magassága 99 cm, kerek rozsdamentes acél sütőráccsal, melynek átmérője 47,5 cm, így akár 10 személy részére is elegendő grillezési felületet biztosít. A grill fekete, zománcozott acélból készült, így elegáns megjelenést kölcsönöz, miközben a QuickStart® és QuickStop rendszerekkel egyszerű és biztonságos használatot garantál.
Ismerje meg a Barbecook Loewy 50-et, és fedezze fel a faszenes grillezés valódi élményét!</t>
        </is>
      </c>
    </row>
    <row r="110">
      <c r="A110" s="3" t="inlineStr">
        <is>
          <t>BC-CHA-1005</t>
        </is>
      </c>
      <c r="B110" s="2" t="inlineStr">
        <is>
          <t>Barbecook BC-CHA-1005 Loewy 50 SST rozsdamentes acél faszenes grill, 51,5x56x99cm</t>
        </is>
      </c>
      <c r="C110" s="1" t="n">
        <v>84990.0</v>
      </c>
      <c r="D110" s="7" t="n">
        <f>HYPERLINK("https://www.somogyi.hu/product/barbecook-bc-cha-1005-loewy-50-sst-rozsdamentes-acel-faszenes-grill-51-5x56x99cm-bc-cha-1005-18743","https://www.somogyi.hu/product/barbecook-bc-cha-1005-loewy-50-sst-rozsdamentes-acel-faszenes-grill-51-5x56x99cm-bc-cha-1005-18743")</f>
        <v>0.0</v>
      </c>
      <c r="E110" s="7" t="n">
        <f>HYPERLINK("https://www.somogyi.hu/data/img/product_main_images/small/18743.jpg","https://www.somogyi.hu/data/img/product_main_images/small/18743.jpg")</f>
        <v>0.0</v>
      </c>
      <c r="F110" s="2" t="inlineStr">
        <is>
          <t>5400269205157</t>
        </is>
      </c>
      <c r="G110" s="4" t="inlineStr">
        <is>
          <t>Van kedve egy igazi, hagyományos faszenes grillezéshez, és szeretné egyszerűen használni a grillt? A Barbecook BC-CHA-1005 Loewy 50 SST rozsdamentes acél faszenes grillje nemcsak lenyűgöző dizájnnal rendelkezik, de az állítható magasságú rácsnak köszönhetően intenzív és finom sütést tesz lehetővé három különböző szinten.
Ez a faszenes grill tökéletes kontrollt biztosít a tűz felett az állítható légbevezetéssel, valamint a grillen található szélvédővel. A rozsdamentes acélból készült rács rendkívül tartós és könnyen tisztítható, miközben a QuickStart® és QuickStop rendszerek megkönnyítik a grill gyújtását és biztonságos használatát. A grill aljában található hamugyűjtő is hozzájárul a tisztán tartáshoz, és a masszív tartó kényelmes helyet biztosít a grillezési kiegészítők számára.
A Loewy 50 SST grill kiemelkedő jellemzője a QuickStart® &amp; QuickStop rendszer, amely lehetővé teszi a grill könnyű meggyújtását és biztonságos leállítását. A grill alapját vízzel töltve megkezdhető a grillezés, és a sütés végén a parazsat egyszerűen a vízbe lehet söpörni, így biztonságosan kioltható.
A Loewy 50 SST jellemzői között szerepel a 99 cm magasság, a 47,5 cm átmérőjű rozsdamentes acél sütőrács, amely akár 10 személy számára is elegendő helyet biztosít. Ezüst színű, rozsdamentes acélból készült grillünk a QuickStart® rendszerrel és a QuickStop rendszerrel van felszerelve, így garantálva a könnyű használatot és a tisztítást.
Fedezze fel a Barbecook Loewy 50 SST faszenes grill előnyeit, és élvezze az autentikus grillezés minden pillanatát egyszerűen és biztonságosan. Ez a grill tökéletes választás azok számára, akik szeretik a különleges ízeket és a hagyományos grillezési élményt. Indítsa be a Loewy 50 SST grillt, és kezdje el a grillezést ma!</t>
        </is>
      </c>
    </row>
    <row r="111">
      <c r="A111" s="3" t="inlineStr">
        <is>
          <t>GR03</t>
        </is>
      </c>
      <c r="B111" s="2" t="inlineStr">
        <is>
          <t>Home GR03 fedeles gömbgrill, faszén, faszénbrikett, zománcozott acél tűztér és fedél, krómozott acél rostély, galvanizált acél széntartó, 76 cm rostélymagasság a talajtól</t>
        </is>
      </c>
      <c r="C111" s="1" t="n">
        <v>52590.0</v>
      </c>
      <c r="D111" s="7" t="n">
        <f>HYPERLINK("https://www.somogyi.hu/product/home-gr03-fedeles-gombgrill-faszen-faszenbrikett-zomancozott-acel-tuzter-es-fedel-kromozott-acel-rostely-galvanizalt-acel-szentarto-76-cm-rostelymagassag-a-talajtol-gr03-18394","https://www.somogyi.hu/product/home-gr03-fedeles-gombgrill-faszen-faszenbrikett-zomancozott-acel-tuzter-es-fedel-kromozott-acel-rostely-galvanizalt-acel-szentarto-76-cm-rostelymagassag-a-talajtol-gr03-18394")</f>
        <v>0.0</v>
      </c>
      <c r="E111" s="7" t="n">
        <f>HYPERLINK("https://www.somogyi.hu/data/img/product_main_images/small/18394.jpg","https://www.somogyi.hu/data/img/product_main_images/small/18394.jpg")</f>
        <v>0.0</v>
      </c>
      <c r="F111" s="2" t="inlineStr">
        <is>
          <t>5999084964122</t>
        </is>
      </c>
      <c r="G111" s="4" t="inlineStr">
        <is>
          <t>Gondolkodott már azon, hogy hogyan tehetné a szabadtéri sütögetést még élvezetesebbé és egyszerűbbé? A Home GR03 fedeles gömbgrill ideális választás azok számára, akik szeretik a minőségi, faszénnel vagy faszénbrikettel történő grillezést. A grill korrózióálló, zománcozott acél fedele és tűztere könnyű tisztítást tesz lehetővé, míg a krómozott acél rostélya és a galvanizált acélból készült széntartó rács biztosítja a tartósságot. A 85 x 107 x 73 cm méretű grill rendkívül stabil, köszönhetően a 430 SS lábaknak, és kerekein könnyedén mozgatható.
A 76 cm magasságban elhelyezkedő rostély tökéletes hőmérsékletet kínál a grillezéshez, míg a fedélbe épített hőmérő segítségével mindig tökéletes eredményt érhet el. A levegőszabályozók a fedélen és a hamutartályon egyaránt megtalálhatóak, így a grill hőfokát egyszerűen szabályozhatja. A 11 kg tömegű gömbgrill könnyen eltávolítható hamutartálya pedig még a takarítást is megkönnyíti.
Válassza a Home GR03 fedeles gömbgrillt, és élvezze a kényelmes, ízletes grillezést a saját kertjében!</t>
        </is>
      </c>
    </row>
    <row r="112">
      <c r="A112" s="3" t="inlineStr">
        <is>
          <t>GR01</t>
        </is>
      </c>
      <c r="B112" s="2" t="inlineStr">
        <is>
          <t>Home GR01 hordozható asztali grill, faszén, faszénbrikett, nyitott vagy zárt fedél, 2 rostély, 2 széntartó rács, 22 cm rostélymagasság asztaltól</t>
        </is>
      </c>
      <c r="C112" s="1" t="n">
        <v>18990.0</v>
      </c>
      <c r="D112" s="7" t="n">
        <f>HYPERLINK("https://www.somogyi.hu/product/home-gr01-hordozhato-asztali-grill-faszen-faszenbrikett-nyitott-vagy-zart-fedel-2-rostely-2-szentarto-racs-22-cm-rostelymagassag-asztaltol-gr01-18393","https://www.somogyi.hu/product/home-gr01-hordozhato-asztali-grill-faszen-faszenbrikett-nyitott-vagy-zart-fedel-2-rostely-2-szentarto-racs-22-cm-rostelymagassag-asztaltol-gr01-18393")</f>
        <v>0.0</v>
      </c>
      <c r="E112" s="7" t="n">
        <f>HYPERLINK("https://www.somogyi.hu/data/img/product_main_images/small/18393.jpg","https://www.somogyi.hu/data/img/product_main_images/small/18393.jpg")</f>
        <v>0.0</v>
      </c>
      <c r="F112" s="2" t="inlineStr">
        <is>
          <t>5999084964115</t>
        </is>
      </c>
      <c r="G112" s="4" t="inlineStr">
        <is>
          <t>Egy sokoldalú, hordozható grillezőt keres, ami tökéletes társ lehet a szabadban? A Home GR01 asztali grill kettős grillfelületével ideális választás a kempingezéshez és piknikezéshez egyaránt. Legyen szó nyitott vagy zárt fedél alatti sütésről, ez a grill minden igényt kielégít. Könnyedén szállítható, fa fogantyújának köszönhetően bárhova magával viheti.
A grill 41,5 x 44,5 x 30 cm méretű, így bőven van hely a finomságoknak. A két rostély és a két széntartó rács lehetővé teszi, hogy egyszerre többféle ételt készítsen, míg a 22 cm magasságú rostély tökéletes távolságot biztosít a parázstól. Az acél lábak stabilitást garantálnak, míg a levegőmennyiség szabályozásával irányíthatja a grillezési folyamatot.
Ne hagyja ki ezt a kompakt, mégis rendkívül funkcionális grillezőt, mely mindössze 3 kg tömegével kiválóan alkalmas hordozásra. A Home GR01 asztali grill azok számára készült, akik nem akarnak kompromisszumot kötni a minőségi grillezés élményében, függetlenül attól, hogy hol döntenek a sütés mellett. Tegye emlékezetessé piknikjeit ezzel az asztali grillezővel!</t>
        </is>
      </c>
    </row>
    <row r="113">
      <c r="A113" s="3" t="inlineStr">
        <is>
          <t>BC-CHA-1020</t>
        </is>
      </c>
      <c r="B113" s="2" t="inlineStr">
        <is>
          <t>Barbecook BC-CHA-1020 Edson faszenes grillhordó, fekete, 47,5 átmérő</t>
        </is>
      </c>
      <c r="C113" s="1" t="n">
        <v>120990.0</v>
      </c>
      <c r="D113" s="7" t="n">
        <f>HYPERLINK("https://www.somogyi.hu/product/barbecook-bc-cha-1020-edson-faszenes-grillhordo-fekete-47-5-atmero-bc-cha-1020-18801","https://www.somogyi.hu/product/barbecook-bc-cha-1020-edson-faszenes-grillhordo-fekete-47-5-atmero-bc-cha-1020-18801")</f>
        <v>0.0</v>
      </c>
      <c r="E113" s="7" t="n">
        <f>HYPERLINK("https://www.somogyi.hu/data/img/product_main_images/small/18801.jpg","https://www.somogyi.hu/data/img/product_main_images/small/18801.jpg")</f>
        <v>0.0</v>
      </c>
      <c r="F113" s="2" t="inlineStr">
        <is>
          <t>5400269202149</t>
        </is>
      </c>
      <c r="G113" s="4" t="inlineStr">
        <is>
          <t>Ön is azok közé tartozik, akik imádnak grillezni, és szeretik a kerti összejöveteleket? Akkor a Barbecook Edson BC-CHA-1020 fekete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fekete színben, egyedi megjelenéssel rendelkezik, fehér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BC-CHA-1020 fekete faszenes grillhordót!</t>
        </is>
      </c>
    </row>
    <row r="114">
      <c r="A114" s="3" t="inlineStr">
        <is>
          <t>BC-CHA-1022</t>
        </is>
      </c>
      <c r="B114" s="2" t="inlineStr">
        <is>
          <t>Barbecook BC-CHA-1022 Edson faszenes grillhordó, zöld, 47,5cm átmérő</t>
        </is>
      </c>
      <c r="C114" s="1" t="n">
        <v>120990.0</v>
      </c>
      <c r="D114" s="7" t="n">
        <f>HYPERLINK("https://www.somogyi.hu/product/barbecook-bc-cha-1022-edson-faszenes-grillhordo-zold-47-5cm-atmero-bc-cha-1022-18802","https://www.somogyi.hu/product/barbecook-bc-cha-1022-edson-faszenes-grillhordo-zold-47-5cm-atmero-bc-cha-1022-18802")</f>
        <v>0.0</v>
      </c>
      <c r="E114" s="7" t="n">
        <f>HYPERLINK("https://www.somogyi.hu/data/img/product_main_images/small/18802.jpg","https://www.somogyi.hu/data/img/product_main_images/small/18802.jpg")</f>
        <v>0.0</v>
      </c>
      <c r="F114" s="2" t="inlineStr">
        <is>
          <t>5400269209339</t>
        </is>
      </c>
      <c r="G114" s="4" t="inlineStr">
        <is>
          <t>Ön is azok közé tartozik, akik imádnak grillezni, és szeretik a kerti összejöveteleket? Akkor a Barbecook Edson BC-CHA-1022 katonai zöld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katonai zöld színben, matt megjelenéssel rendelkezik, fekete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BC-CHA-1022 katonai zöld faszenes grillhordót!</t>
        </is>
      </c>
    </row>
    <row r="115">
      <c r="A115" s="6" t="inlineStr">
        <is>
          <t xml:space="preserve">   Grillezés / Elektromos grill</t>
        </is>
      </c>
      <c r="B115" s="6" t="inlineStr">
        <is>
          <t/>
        </is>
      </c>
      <c r="C115" s="6" t="inlineStr">
        <is>
          <t/>
        </is>
      </c>
      <c r="D115" s="6" t="inlineStr">
        <is>
          <t/>
        </is>
      </c>
      <c r="E115" s="6" t="inlineStr">
        <is>
          <t/>
        </is>
      </c>
      <c r="F115" s="6" t="inlineStr">
        <is>
          <t/>
        </is>
      </c>
      <c r="G115" s="6" t="inlineStr">
        <is>
          <t/>
        </is>
      </c>
    </row>
    <row r="116">
      <c r="A116" s="3" t="inlineStr">
        <is>
          <t>BC-ELE-4000</t>
        </is>
      </c>
      <c r="B116" s="2" t="inlineStr">
        <is>
          <t>Barbecook BC-ELE-4000 Alexia 5011 elektromos grill, fekete, 59x49x97cm</t>
        </is>
      </c>
      <c r="C116" s="1" t="n">
        <v>88990.0</v>
      </c>
      <c r="D116" s="7" t="n">
        <f>HYPERLINK("https://www.somogyi.hu/product/barbecook-bc-ele-4000-alexia-5011-elektromos-grill-fekete-59x49x97cm-bc-ele-4000-18805","https://www.somogyi.hu/product/barbecook-bc-ele-4000-alexia-5011-elektromos-grill-fekete-59x49x97cm-bc-ele-4000-18805")</f>
        <v>0.0</v>
      </c>
      <c r="E116" s="7" t="n">
        <f>HYPERLINK("https://www.somogyi.hu/data/img/product_main_images/small/18805.jpg","https://www.somogyi.hu/data/img/product_main_images/small/18805.jpg")</f>
        <v>0.0</v>
      </c>
      <c r="F116" s="2" t="inlineStr">
        <is>
          <t>5400269210786</t>
        </is>
      </c>
      <c r="G116" s="4" t="inlineStr">
        <is>
          <t>Szeretne egy környezetbarát alternatívát a faszenes vagy gázos grillezésre, esetleg kis terasszal rendelkezik a városban? A Barbecook megoldást kínál: az Alexia 5011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5011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két változatban kapható, az egyik oldalasztalokkal - Alexia 5111 -, a másik oldalasztalok nélkül - Alexia 5011. Az oldalasztalos változatnál 3 akasztó is található kiegészítők, például kesztyűk, kefe vagy spatula akasztásához. Az utóbbi két kerékkel is el van látva, ami nagyon könnyűvé teszi a grill mozgatását. 
Mindkét modellnél van egy praktikus tálca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5011-et!</t>
        </is>
      </c>
    </row>
    <row r="117">
      <c r="A117" s="3" t="inlineStr">
        <is>
          <t>BC-ELE-4001</t>
        </is>
      </c>
      <c r="B117" s="2" t="inlineStr">
        <is>
          <t>Barbecook BC-ELE-4001 Alexia 5111 elektromos grill, oldalsó asztal, kerék, fekete, 84x55x97cm</t>
        </is>
      </c>
      <c r="C117" s="1" t="n">
        <v>106990.0</v>
      </c>
      <c r="D117" s="7" t="n">
        <f>HYPERLINK("https://www.somogyi.hu/product/barbecook-bc-ele-4001-alexia-5111-elektromos-grill-oldalso-asztal-kerek-fekete-84x55x97cm-bc-ele-4001-18806","https://www.somogyi.hu/product/barbecook-bc-ele-4001-alexia-5111-elektromos-grill-oldalso-asztal-kerek-fekete-84x55x97cm-bc-ele-4001-18806")</f>
        <v>0.0</v>
      </c>
      <c r="E117" s="7" t="n">
        <f>HYPERLINK("https://www.somogyi.hu/data/img/product_main_images/small/18806.jpg","https://www.somogyi.hu/data/img/product_main_images/small/18806.jpg")</f>
        <v>0.0</v>
      </c>
      <c r="F117" s="2" t="inlineStr">
        <is>
          <t>5400269210793</t>
        </is>
      </c>
      <c r="G117" s="4" t="inlineStr">
        <is>
          <t>Szeretne egy környezetbarát alternatívát a faszenes vagy gázos grillezésre, esetleg kis terasszal rendelkezik a városban? A Barbecook megoldást kínál: az Alexia 5111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5111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oldalasztalokkal van ellátva, valamint 3 akasztó is található rajta a kiegészítők, például kesztyűk, kefe vagy spatula akasztásához. Ezt a modellt két kerékkel szállítjuk, ami nagyon könnyűvé teszi a grill mozgatását. 
Továbbá egy praktikus tálca van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5111-et!</t>
        </is>
      </c>
    </row>
    <row r="118">
      <c r="A118" s="3" t="inlineStr">
        <is>
          <t>HG KG 01</t>
        </is>
      </c>
      <c r="B118" s="2" t="inlineStr">
        <is>
          <t>Home HG KG 01 mini kontakt grill, teljesítmény 800-1000 W, tapadásmentes bevonat, túlmelegedés elleni védelem</t>
        </is>
      </c>
      <c r="C118" s="1" t="n">
        <v>9490.0</v>
      </c>
      <c r="D118" s="7" t="n">
        <f>HYPERLINK("https://www.somogyi.hu/product/home-hg-kg-01-mini-kontakt-grill-teljesitmeny-800-1000-w-tapadasmentes-bevonat-tulmelegedes-elleni-vedelem-hg-kg-01-17768","https://www.somogyi.hu/product/home-hg-kg-01-mini-kontakt-grill-teljesitmeny-800-1000-w-tapadasmentes-bevonat-tulmelegedes-elleni-vedelem-hg-kg-01-17768")</f>
        <v>0.0</v>
      </c>
      <c r="E118" s="7" t="n">
        <f>HYPERLINK("https://www.somogyi.hu/data/img/product_main_images/small/17768.jpg","https://www.somogyi.hu/data/img/product_main_images/small/17768.jpg")</f>
        <v>0.0</v>
      </c>
      <c r="F118" s="2" t="inlineStr">
        <is>
          <t>5999084957902</t>
        </is>
      </c>
      <c r="G118" s="4" t="inlineStr">
        <is>
          <t>A HG KG 01 Mini kontakt grill 1000 W teljesítményű. Alumínium, tapadásmentes bevonatú, bordázott sütési felületnek köszönhetően nem égnek le a kontakt grillben készült ételek. Melegszendvicsek, grillezett húsok és zöldségek készítéséhez egyaránt használható. Egyszerűen tisztán tartható. A biztonságos sütés érdekében a fogantyú nem melegszik át. 
Az elektromos mini kontakt grillel akár erkélyen, teraszon is sütheti az ételeket, de a téli hónapokra sem kell lemondania a grillezett ízekről, mivel beltéren is használható.</t>
        </is>
      </c>
    </row>
    <row r="119">
      <c r="A119" s="3" t="inlineStr">
        <is>
          <t>BC-ELE-1001</t>
        </is>
      </c>
      <c r="B119" s="2" t="inlineStr">
        <is>
          <t>Barbecook BC-ELE-1001 E-Carlo elektromos asztali grill, piros, 42,5x33x16,5cm</t>
        </is>
      </c>
      <c r="C119" s="1" t="n">
        <v>84990.0</v>
      </c>
      <c r="D119" s="7" t="n">
        <f>HYPERLINK("https://www.somogyi.hu/product/barbecook-bc-ele-1001-e-carlo-elektromos-asztali-grill-piros-42-5x33x16-5cm-bc-ele-1001-18821","https://www.somogyi.hu/product/barbecook-bc-ele-1001-e-carlo-elektromos-asztali-grill-piros-42-5x33x16-5cm-bc-ele-1001-18821")</f>
        <v>0.0</v>
      </c>
      <c r="E119" s="7" t="n">
        <f>HYPERLINK("https://www.somogyi.hu/data/img/product_main_images/small/18821.jpg","https://www.somogyi.hu/data/img/product_main_images/small/18821.jpg")</f>
        <v>0.0</v>
      </c>
      <c r="F119" s="2" t="inlineStr">
        <is>
          <t>5404035708033</t>
        </is>
      </c>
      <c r="G119" s="4" t="inlineStr">
        <is>
          <t>Szeretne erkélyen grillezni a város szívében? Az Barbecook BC-ELE-1001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piros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0">
      <c r="A120" s="3" t="inlineStr">
        <is>
          <t>BC-ELE-1003</t>
        </is>
      </c>
      <c r="B120" s="2" t="inlineStr">
        <is>
          <t>Barbecook BC-ELE-1003 E-Carlo elektromos asztali grill, szürke, 42,5x33x16,5cm</t>
        </is>
      </c>
      <c r="C120" s="1" t="n">
        <v>84990.0</v>
      </c>
      <c r="D120" s="7" t="n">
        <f>HYPERLINK("https://www.somogyi.hu/product/barbecook-bc-ele-1003-e-carlo-elektromos-asztali-grill-szurke-42-5x33x16-5cm-bc-ele-1003-18748","https://www.somogyi.hu/product/barbecook-bc-ele-1003-e-carlo-elektromos-asztali-grill-szurke-42-5x33x16-5cm-bc-ele-1003-18748")</f>
        <v>0.0</v>
      </c>
      <c r="E120" s="7" t="n">
        <f>HYPERLINK("https://www.somogyi.hu/data/img/product_main_images/small/18748.jpg","https://www.somogyi.hu/data/img/product_main_images/small/18748.jpg")</f>
        <v>0.0</v>
      </c>
      <c r="F120" s="2" t="inlineStr">
        <is>
          <t>5404035708057</t>
        </is>
      </c>
      <c r="G120" s="4" t="inlineStr">
        <is>
          <t>Szeretne erkélyen grillezni a város szívében? Az Barbecook BC-ELE-1003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szürke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1">
      <c r="A121" s="3" t="inlineStr">
        <is>
          <t>HG GR 03</t>
        </is>
      </c>
      <c r="B121" s="2" t="inlineStr">
        <is>
          <t>Home HG GR 03 asztali grill, teljesítmény 2000 W, tapadásmentes felület, zsírgyűjtő fiók</t>
        </is>
      </c>
      <c r="C121" s="1" t="n">
        <v>14290.0</v>
      </c>
      <c r="D121" s="7" t="n">
        <f>HYPERLINK("https://www.somogyi.hu/product/home-hg-gr-03-asztali-grill-teljesitmeny-2000-w-tapadasmentes-felulet-zsirgyujto-fiok-hg-gr-03-17523","https://www.somogyi.hu/product/home-hg-gr-03-asztali-grill-teljesitmeny-2000-w-tapadasmentes-felulet-zsirgyujto-fiok-hg-gr-03-17523")</f>
        <v>0.0</v>
      </c>
      <c r="E121" s="7" t="n">
        <f>HYPERLINK("https://www.somogyi.hu/data/img/product_main_images/small/17523.jpg","https://www.somogyi.hu/data/img/product_main_images/small/17523.jpg")</f>
        <v>0.0</v>
      </c>
      <c r="F121" s="2" t="inlineStr">
        <is>
          <t>5999084955458</t>
        </is>
      </c>
      <c r="G121" s="4" t="inlineStr">
        <is>
          <t>A HG GR 03 Asztali grill 2000 W teljesítményű, így gyorsan megsütheti a kedvenc grill ételeit. A bordázott és sima sütőfelület lehetővé teszi a különféle élelmiszerek elkészítését. 
Az ideális sütési hőmérséklet termosztáttal állítható be. Az elektromos grill egyszerűen tisztán tartható a tapadásmentes bevonat és a kivehető zsírgyűjtő fióknak köszönhetően. Sütőfelület mérete: 52 x 26,5 cm. Biztonságos hőálló fogantyúval ellátott. 
Az elektromos asztali grillel akár erkélyen, teraszon is sütheti az ételeket, de a téli hónapokra sem kell lemondania a grillezett ízekről, mivel beltéren is használható.</t>
        </is>
      </c>
    </row>
    <row r="122">
      <c r="A122" s="3" t="inlineStr">
        <is>
          <t>BC-ELE-1002</t>
        </is>
      </c>
      <c r="B122" s="2" t="inlineStr">
        <is>
          <t>Barbecook BC-ELE-1002 E-Carlo elektromos asztali grill, zöld, 42,5x33x16,5cm</t>
        </is>
      </c>
      <c r="C122" s="1" t="n">
        <v>84990.0</v>
      </c>
      <c r="D122" s="7" t="n">
        <f>HYPERLINK("https://www.somogyi.hu/product/barbecook-bc-ele-1002-e-carlo-elektromos-asztali-grill-zold-42-5x33x16-5cm-bc-ele-1002-18749","https://www.somogyi.hu/product/barbecook-bc-ele-1002-e-carlo-elektromos-asztali-grill-zold-42-5x33x16-5cm-bc-ele-1002-18749")</f>
        <v>0.0</v>
      </c>
      <c r="E122" s="7" t="n">
        <f>HYPERLINK("https://www.somogyi.hu/data/img/product_main_images/small/18749.jpg","https://www.somogyi.hu/data/img/product_main_images/small/18749.jpg")</f>
        <v>0.0</v>
      </c>
      <c r="F122" s="2" t="inlineStr">
        <is>
          <t>5404035708040</t>
        </is>
      </c>
      <c r="G122" s="4" t="inlineStr">
        <is>
          <t>Szeretne erkélyen grillezni a város szívében? Az Barbecook BC-ELE-1002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zöld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3">
      <c r="A123" s="6" t="inlineStr">
        <is>
          <t xml:space="preserve">   Grillezés / Tűzkosár és tűztál</t>
        </is>
      </c>
      <c r="B123" s="6" t="inlineStr">
        <is>
          <t/>
        </is>
      </c>
      <c r="C123" s="6" t="inlineStr">
        <is>
          <t/>
        </is>
      </c>
      <c r="D123" s="6" t="inlineStr">
        <is>
          <t/>
        </is>
      </c>
      <c r="E123" s="6" t="inlineStr">
        <is>
          <t/>
        </is>
      </c>
      <c r="F123" s="6" t="inlineStr">
        <is>
          <t/>
        </is>
      </c>
      <c r="G123" s="6" t="inlineStr">
        <is>
          <t/>
        </is>
      </c>
    </row>
    <row r="124">
      <c r="A124" s="3" t="inlineStr">
        <is>
          <t>BC-WOO-6016</t>
        </is>
      </c>
      <c r="B124" s="2" t="inlineStr">
        <is>
          <t>Barbecook BC-WOO-6016 Rila tűzkosár és grill, 80x75x71cm</t>
        </is>
      </c>
      <c r="C124" s="1" t="n">
        <v>160990.0</v>
      </c>
      <c r="D124" s="7" t="n">
        <f>HYPERLINK("https://www.somogyi.hu/product/barbecook-bc-woo-6016-rila-tuzkosar-es-grill-80x75x71cm-bc-woo-6016-18816","https://www.somogyi.hu/product/barbecook-bc-woo-6016-rila-tuzkosar-es-grill-80x75x71cm-bc-woo-6016-18816")</f>
        <v>0.0</v>
      </c>
      <c r="E124" s="7" t="n">
        <f>HYPERLINK("https://www.somogyi.hu/data/img/product_main_images/small/18816.jpg","https://www.somogyi.hu/data/img/product_main_images/small/18816.jpg")</f>
        <v>0.0</v>
      </c>
      <c r="F124" s="2" t="inlineStr">
        <is>
          <t>5400269210489</t>
        </is>
      </c>
      <c r="G124" s="4" t="inlineStr">
        <is>
          <t>Válassza a Barbecook BC-WOO-6016 Rila tűzkosarat, és változtassa a grillezést közösségi tevékenységgé! A Rila olyan kialakítással rendelkezik, amely lehetővé teszi, hogy egyszerre több ember is kényelmesen körülállhassa a BBQ-t. Tökéletes arra, hogy beszélgetés közben finom falatokat süssön vendégeinek. Gyönyörű dizájnjával a Rila fa BBQ kétségtelenül az Ön grillezési partijának középpontjává válik!
Milyen előnyökkel bír a Rila BBQ?
Körbeülni barátokkal a tűz mellett néhány itallal és finom BBQ-falatokkal – ki ne szeretné ezt? A Rila BBQ-val a képzelet világából a valóságba léphet. Ez a multifunkcionális BBQ nemcsak az ínyencségek elkészítésére alkalmas, hanem tűzkosárként is szolgál. Tökéletes a melegedésre és egyben a táncoló lángok élvezetére is! A Rila BBQ 75 cm átmérőjű szénacél sütőlappal rendelkezik. A sütőlap hatszögletű, ami hat különálló területre osztja. Ez lehetővé teszi minden vendég számára, hogy kedvükre helyezzenek finomságokat a sütőre. A Rila BBQ nemcsak multifunkcionalitásáról ismert, hanem gyönyörű dizájnjáról is. Geometriai formáival kiváló dekorációs tárgy lehet kertjében. A széles alap a szükséges stabilitást biztosítja. A Rila BBQ 80 cm magas valamint kampókkal van ellátva a kiegészítők számára (spatula, ecset, védőkesztyű).
Hogyan működik a Rila BBQ?
A Rila BBQ tűzmedencéjének meggyújtásakor először helyezzen néhány gyújtókockát (Barbecook BC-ACC-7113) és aprófa darabokat a tűzmedence aljára. Gyújtsa meg ezeket egy hosszú gyufával vagy öngyújtóval. Ezután építsen fel egy piramist néhány száraz fahasábból. Fontos, hogy a szél megfelelő irányból fújjon a jó tűz érdekében. Rendszeresen fújhat levegőt a tűzbe. Amikor a tűz ég, a lényeg, hogy folyamatosan és azonos hőmérsékleten tartsa. Ezt úgy teheti meg, hogy mindig oda tesz farönköket, ahol kevésbé izzik. Észre fogja venni, hogy a Rila fa BBQ sütőlapja nagyon gyorsan felmelegszik. 
A szórakozás és grillezés minőségi élvezetéhez válassza a Barbecook Rila tűzkosarat! A beszélgetés így válhat közösségi étkezéssé is.</t>
        </is>
      </c>
    </row>
    <row r="125">
      <c r="A125" s="3" t="inlineStr">
        <is>
          <t>BC-WOO-6013</t>
        </is>
      </c>
      <c r="B125" s="2" t="inlineStr">
        <is>
          <t>Barbecook BC-WOO-6013 Jura tűzrakó kosár, festett acéllemez, 60x60x75cm</t>
        </is>
      </c>
      <c r="C125" s="1" t="n">
        <v>39990.0</v>
      </c>
      <c r="D125" s="7" t="n">
        <f>HYPERLINK("https://www.somogyi.hu/product/barbecook-bc-woo-6013-jura-tuzrako-kosar-festett-acellemez-60x60x75cm-bc-woo-6013-18754","https://www.somogyi.hu/product/barbecook-bc-woo-6013-jura-tuzrako-kosar-festett-acellemez-60x60x75cm-bc-woo-6013-18754")</f>
        <v>0.0</v>
      </c>
      <c r="E125" s="7" t="n">
        <f>HYPERLINK("https://www.somogyi.hu/data/img/product_main_images/small/18754.jpg","https://www.somogyi.hu/data/img/product_main_images/small/18754.jpg")</f>
        <v>0.0</v>
      </c>
      <c r="F125" s="2" t="inlineStr">
        <is>
          <t>5400269207533</t>
        </is>
      </c>
      <c r="G125" s="4" t="inlineStr">
        <is>
          <t>Szeretne varázslatos hangulatot teremteni a teraszon vagy erkélyen barátokkal vagy a családdal? A Barbecook Jura tűzkosár nem csupán meleget biztosít, hanem garantáltan a terasz vagy kert központi eleme lesz, hozzájárulva a kellemes hangulathoz és társasági élményhez. 
Képzelje el, ahogy barátaival beszélget, mályvacukrot vagy szalonnát süt a tűz felett, vagy csak élvezi egy jó könyv olvasását a lángok melegében. A Jura tűzkosár télen-nyáron tökéletes választás a szabadtéri összejövetelekhez. Stílusos geometrikus design és fekete lakkozott acél kivitel, amely bármely kültéri tér látványos dísze lehet. A 42,5cm átmérőjű és 70cm magasságú tűzkosár öt lába garantálja a stabilitást a kertben vagy a teraszon. Nyitott kialakításának köszönhetően teljes mértékben élvezheti a táncoló lángok látványát és melegét. A Jura tűzkosár választása funkcionális megoldást és egyben gyönyörű kerti díszt is jelent.
Hogyan működik a Jura tűzkosár?
A Jura tűzkosár használata rendkívül egyszerű. Először is fontos, hogy biztonságos, sík helyen helyezze el, távolan minden gyúlékony anyagtól. Ezután következhet a kaland: helyezzen a tűzkosár aljára gyújtókockákat és apró fahasábokat, majd gyújtsa meg őket hosszú gyufával vagy öngyújtóval. Ezután építsen fel egy kis fahasáb-piramist, lehetőleg tölgyből vagy bükkből, amelyek hosszú ideig égnek és szép lángot adnak. A száraz fa használata kulcsfontosságú a sikerhez. A tűz fenntartása érdekében rendszeresen adjon hozzá újabb rönköket ahol szükséges, és használjon természetes módszereket a tűz fokozására, például a szél vagy a légáramlatok kihasználásával.
Fedezze fel a Jura tűzkosár adta végtelen lehetőségeket, és tegyen egy lépést afelé, hogy otthona külső terei még vonzóbbá és hangulatosabbá váljanak minden évszakban!</t>
        </is>
      </c>
    </row>
    <row r="126">
      <c r="A126" s="3" t="inlineStr">
        <is>
          <t>BC-WOO-6019</t>
        </is>
      </c>
      <c r="B126" s="2" t="inlineStr">
        <is>
          <t>Barbecook BC-WOO-6019 Jack 75 tűztál, 75x30cm</t>
        </is>
      </c>
      <c r="C126" s="1" t="n">
        <v>78990.0</v>
      </c>
      <c r="D126" s="7" t="n">
        <f>HYPERLINK("https://www.somogyi.hu/product/barbecook-bc-woo-6019-jack-75-tuztal-75x30cm-bc-woo-6019-18817","https://www.somogyi.hu/product/barbecook-bc-woo-6019-jack-75-tuztal-75x30cm-bc-woo-6019-18817")</f>
        <v>0.0</v>
      </c>
      <c r="E126" s="7" t="n">
        <f>HYPERLINK("https://www.somogyi.hu/data/img/product_main_images/small/18817.jpg","https://www.somogyi.hu/data/img/product_main_images/small/18817.jpg")</f>
        <v>0.0</v>
      </c>
      <c r="F126" s="2" t="inlineStr">
        <is>
          <t>5420059856185</t>
        </is>
      </c>
      <c r="G126" s="4" t="inlineStr">
        <is>
          <t>Szeretne hosszú nyári estéken vagy hideg téli délutánokon a tűz körül meghitt pillanatokat tölteni barátokkal vagy családdal? Akkor fektessen be egy Barbecook BC-WOO-6019 Jack 75 tűztálba! 
Milyen előnyökkel bír a Jack 75 tűztál?
Nem csak meleget biztosít, hanem jó hangulatot is teremt. A tűz szó szerint és átvitt értelemben is felmelegíti a kellemes estét vagy délutánt. Nem csak a hosszú nyári estéken rendkívül hangulatos a Jack 75 tűztál, télen is sok örömöt szerezhetünk vele. Gyűljünk össze a tűztál körül egy természetben tett délutáni sétát követően, vagy szervezzünk karácsonyi italozást a tűz körül barátokkal vagy családdal. Helyezzünk székeket a Jack 75 köré, kínáljunk néhány csemegét, mint például pillecukrot, forralt bort vagy csak egy frissítő sört, és osszunk ki takarókat azoknak, akik még otthonosabbá szeretnék tenni a beszélgetést. A Jack corten acélból készült, egy minőségi anyagból, amely barna rozsda színű. A corten acél napjaink egyre népszerűbb építő és burkoló anyaga, mely a felületén kialakuló rozsdarétegnek köszönheti különleges megjelenését, és közkedveltségét. Ez az anyag manapság nagyon népszerű, mert dekoratív érintést is ad a kertnek. A corten acél 4 mm vastag és szinte elpusztíthatatlan. Ezt a corten acél tűztálat lyukakkal látták el az alján a többlet levegőbeáramlás és a könnyű vízelvezetés érdekében. A Jack tűztál a szabadban maradhat, így ha esik az eső, a víz egyszerűen átfolyik a lyukakon.
Hogyan gyújtható meg a Jack 75 tűztál?
A Jack corten acél tűztál meggyújtása nagyon egyszerű. Először is fontos, hogy egy biztonságos helyre helyezzük, egyenletes felületre, távolan a gyúlékony tárgyaktól. Ha ez megvan, kezdődhet a kaland. Először helyezzünk néhány gyújtókockát (Barbecook BC-ACC-7113) és aprófa darabokat a tűztál aljára, és gyújtsuk meg őket egy extra hosszú gyufával vagy öngyújtóval. Ezután építsünk fel egy piramist körülbelül 5 farönkből. A legjobb, ha bükk vagy tölgy darabokat használunk az egyenletes hő eléréséhez. A bükk és a tölgy hosszú ideig ég és szép lángokat ad. Fontos, hogy a fa száraz legyen. Ha ez nem így van, a fa sistereg a tűzben, alig ad hőt és sötét füstöt okoz. Ezután győződjünk meg arról, hogy a szél megfelelő irányból fúj, hogy beindítsa a tűztálban lévő tüzet. Rendszeresen fújjunk levegőt a tűzbe is. Semmilyen körülmények között ne használjunk folyékony tüzelőanyagot, mint például szeszt; ez életveszélyes. Amikor a tűz ég, a lényeg, hogy folyamatosan és azonos hőmérsékleten tartsa. Ezt úgy teheti meg, hogy mindig oda tesz farönköket, ahol kevésbé izzik.
Tegyen egy lépést a tökéletes kerti élmény felé a Barbecook Jack 75 tűztállal, és teremtsen felejthetetlen emlékeket azokkal, akik a legfontosabbak az Ön számára!</t>
        </is>
      </c>
    </row>
    <row r="127">
      <c r="A127" s="3" t="inlineStr">
        <is>
          <t>BC-WOO-6012</t>
        </is>
      </c>
      <c r="B127" s="2" t="inlineStr">
        <is>
          <t>Barbecook BC-WOO-6012 Classic Squadra tűzkosár, 62x62x49cm</t>
        </is>
      </c>
      <c r="C127" s="1" t="n">
        <v>35290.0</v>
      </c>
      <c r="D127" s="7" t="n">
        <f>HYPERLINK("https://www.somogyi.hu/product/barbecook-bc-woo-6012-classic-squadra-tuzkosar-62x62x49cm-bc-woo-6012-18815","https://www.somogyi.hu/product/barbecook-bc-woo-6012-classic-squadra-tuzkosar-62x62x49cm-bc-woo-6012-18815")</f>
        <v>0.0</v>
      </c>
      <c r="E127" s="7" t="n">
        <f>HYPERLINK("https://www.somogyi.hu/data/img/product_main_images/small/18815.jpg","https://www.somogyi.hu/data/img/product_main_images/small/18815.jpg")</f>
        <v>0.0</v>
      </c>
      <c r="F127" s="2" t="inlineStr">
        <is>
          <t>5400269227296</t>
        </is>
      </c>
      <c r="G127" s="4" t="inlineStr">
        <is>
          <t>Ön is szereti a szórakozással teli baráti vagy családi összejöveteleket? Akkor felejthetetlen emlékeket szerezhet Barbecook BC-WOO-6012 Classic Squadra tűzkosár segítségével! 
A tűzkosár nem csak meleget biztosít, hanem kellemes hangulatot is teremt. Egy kellemes beszélgetés, mályvacukor a tűz felett vagy csak egy jó könyv olvasása – mindez beindítja a fantáziát. Egy tűzkosarat télen és nyáron egyaránt használhat.
Milyen előnyökkel bír a Classic Squadra tűzkosár?
A Classic Squadra tűzkosár igazán szemet gyönyörködtető. Ez a fekete lakkozott acél tűzkosár négyzet alakú, 62x62 cm-es mérettel. A kosár magassága 49 cm. Függőleges rácsai vonzzák a tekintetet, valamint védik a forró fa kiesésétől a körben ülőket. A Classic Squadra tűzkosár négy erős lábon áll, amelyek egy négyzet alakú lapos felületen helyezkednek el a hamu összegyűjtésére és az alatta lévő felület optimális védelmére. A praktikus oldalsó fogantyúk segítségével a tűzkosarat könnyen lehet mozgatni. Ezzel a tűzkosárral felejthetetlen pillanatokat szerezhet barátainak és önmagának is!
Hogyan működik a Classic Squadra tűzkosár?
A Classic Squadra tűzkosár meggyújtása nagyon egyszerű. Először is fontos, hogy a tűzkosarat biztonságos helyen, egy sík felületen helyezze el, távol a gyúlékony tárgyaktól. Miután ez megvan, kezdődhet a kaland. Először helyezzen néhány gyújtókockát (Barbecook BC-ACC-7113) és aprófa darabokat a tűzkosár aljára, és gyújtsa meg őket extra hosszú gyufával vagy öngyújtóval. Ez legkönyebben a tűzkosár alján keresztül, az egyik rácson át végezhető el. Ezután építsen fel egy piramist körülbelül 5 farönkből. A legjobb, ha bükk vagy tölgy darabokkal dolgozik, hogy egyenletes hőt kapjon. A tölgy és a bükk hosszú ideig ég és szép lángokat ad. Fontos, hogy a fa száraz legyen. Ha nem az, a fa sziszeg a tűzben, alig ad hőt és sötét füstöt okoz. Majd ügyeljen arra, hogy a szél megfelelően fújjon, hogy felizzítsa a tűzkosárban lévő tüzet. Rendszeresen fújjon is levegőt a tűzbe. Azonban a Classic Squadra tűzkosárának függőleges rácsai miatt a levegőellátás nem jelenthet problémát. Soha ne használjon folyékony tüzelőanyagot, mint például a metil-alkoholt; ez életveszélyes. Amikor a tűz ég, a lényeg, hogy folyamatosan és azonos hőmérsékleten tartsa. Ezt úgy teheti meg, hogy mindig oda tesz farönköket, ahol kevésbé izzik.
Hangulat, romantika, beszélgetés egy hűvös estén? Vagy egy májvacukor party a barátokkal? A Barbecook Classic Squadra tűzkosárral biztos sikere lesz!</t>
        </is>
      </c>
    </row>
    <row r="128">
      <c r="A128" s="6" t="inlineStr">
        <is>
          <t xml:space="preserve">   Grillezés / Füstölő</t>
        </is>
      </c>
      <c r="B128" s="6" t="inlineStr">
        <is>
          <t/>
        </is>
      </c>
      <c r="C128" s="6" t="inlineStr">
        <is>
          <t/>
        </is>
      </c>
      <c r="D128" s="6" t="inlineStr">
        <is>
          <t/>
        </is>
      </c>
      <c r="E128" s="6" t="inlineStr">
        <is>
          <t/>
        </is>
      </c>
      <c r="F128" s="6" t="inlineStr">
        <is>
          <t/>
        </is>
      </c>
      <c r="G128" s="6" t="inlineStr">
        <is>
          <t/>
        </is>
      </c>
    </row>
    <row r="129">
      <c r="A129" s="3" t="inlineStr">
        <is>
          <t>BC-SMO-5014</t>
        </is>
      </c>
      <c r="B129" s="2" t="inlineStr">
        <is>
          <t>Barbecook BC-SMO-5014 Oskar M zománcozott füstölő és grill, fekete, átmérő 44cm</t>
        </is>
      </c>
      <c r="C129" s="1" t="n">
        <v>132990.0</v>
      </c>
      <c r="D129" s="7" t="n">
        <f>HYPERLINK("https://www.somogyi.hu/product/barbecook-bc-smo-5014-oskar-m-zomancozott-fustolo-es-grill-fekete-atmero-44cm-bc-smo-5014-18814","https://www.somogyi.hu/product/barbecook-bc-smo-5014-oskar-m-zomancozott-fustolo-es-grill-fekete-atmero-44cm-bc-smo-5014-18814")</f>
        <v>0.0</v>
      </c>
      <c r="E129" s="7" t="n">
        <f>HYPERLINK("https://www.somogyi.hu/data/img/product_main_images/small/18814.jpg","https://www.somogyi.hu/data/img/product_main_images/small/18814.jpg")</f>
        <v>0.0</v>
      </c>
      <c r="F129" s="2" t="inlineStr">
        <is>
          <t>5400269205171</t>
        </is>
      </c>
      <c r="G129" s="4" t="inlineStr">
        <is>
          <t>Kíváncsi rá, hogyan emelheti a grillezést egy új szintre? Ismerkedjen meg a Barbecook BC-SMO-5014 Oskar M zománcozott füstölő és grillkészülékkel, ami forradalmasítja a kültéri sütés-főzést! 
Ez a multifunkciós 2 az 1-ben eszköz lehetővé teszi, hogy a hagyományos grillezés mellett a füstölés rejtelmeibe is belekóstoljon. A zománcozott bevonatnak köszönhetően az Oskar M nemcsak magas minőséget képvisel, de rendkívül könnyen tisztítható. Legyen az hús, vagy hal, a robusztus krómozott acélrácsokon vagy a mellékelt erős akasztókon is elhelyezheti az alapanyagokat. Az állítható légbevezetés és a fedél tetejére integrált hőmérő segítségével pedig tökéletesen irányíthatja a füstölési folyamatot. Az Oskar M füstölővel mind melegen, mind hidegen füstölhet, így végtelen lehetőségek nyílnak meg Ön előtt. Egy beruházás, ami megéri!
Hogyan működik az Oskar M füstölő?
Az Oskar M-mel mind meleg, mind hideg füstölési módszert alkalmazhat. A hideg füstölés 20 és 25 °C közötti hőmérsékleten történik, és leginkább a hideg téli hónapokban ajánlott. Ehhez egy hideg füstgenerátort (Barbecook BC-SMO-5021) kell elhelyezni füstölőjében, amit füstölőporral tölt meg, majd hagyja, hogy lassan izzon. A hideg füstöléssel az alapanyagok nem sülnek meg, de finom füstös ízt kapnak, és hosszabb ideig eltarthatók. A meleg füstölés 70 és 75 °C közötti hőmérsékleten történik, az alapanyagok megfőnek és füstös ízt kapnak. Meleg füstöléshez szüksége lesz fára vagy faszénre, Barbecook gyújtókockákra (Barbecook BC-ACC-7113), hosszú gyufára vagy öngyújtóra, valamint valamilyen folyadékra, mint víz, húsleves vagy bor. Kezdje a füstölő felső részének eltávolításával, majd gyújtsa meg a fát vagy a faszent a füstölő alsó részén lévő faszenes rostélyon. Ha a fa vagy faszén vékony szürke hamuréteggel borított, szórjon rá áztatott füstölő chipszet vagy fadarabokat. Az Oskar M füstölő tartalmaz egy edényt is, amelybe ízlés szerinti ízesítő folyadékot önthet, hogy megakadályozza az alapanyagok kiszáradását. Ízesítésként extra fűszereket is adhat hozzá. Ezután helyezze vissza a rácsot, a tetejét és a fedelét, és kezdődhet a füstölés! A füstölő belsejében lévő hőmérséklet egyszerűen szabályozható a légbevezető nyílások nyitásával (magasabb hőmérsékletért) vagy zárásával (alacsonyabb hőmérsékletért).
Az Oskar M egy 2 az 1-ben eszköz - füstölő és grill - 112 cm magassággal. Ez a gyönyörű fekete füstölő krómozott ráccsal van felszerelve, amelynek átmérője 44 cm. 
Akár sütés, akár füstölés a Barbecook Oskar M-mel garantált a szórakozás! Próbálja ki Ön is és kápráztassa el ételeivel családját, barátait.</t>
        </is>
      </c>
    </row>
    <row r="130">
      <c r="A130" s="3" t="inlineStr">
        <is>
          <t>BC-SMO-5017</t>
        </is>
      </c>
      <c r="B130" s="2" t="inlineStr">
        <is>
          <t>Barbecook BC-SMO-5017 Oskar S zománcozott füstölő és grill, fekete, átmérő 40cm</t>
        </is>
      </c>
      <c r="C130" s="1" t="n">
        <v>107990.0</v>
      </c>
      <c r="D130" s="7" t="n">
        <f>HYPERLINK("https://www.somogyi.hu/product/barbecook-bc-smo-5017-oskar-s-zomancozott-fustolo-es-grill-fekete-atmero-40cm-bc-smo-5017-18720","https://www.somogyi.hu/product/barbecook-bc-smo-5017-oskar-s-zomancozott-fustolo-es-grill-fekete-atmero-40cm-bc-smo-5017-18720")</f>
        <v>0.0</v>
      </c>
      <c r="E130" s="7" t="n">
        <f>HYPERLINK("https://www.somogyi.hu/data/img/product_main_images/small/18720.jpg","https://www.somogyi.hu/data/img/product_main_images/small/18720.jpg")</f>
        <v>0.0</v>
      </c>
      <c r="F130" s="2" t="inlineStr">
        <is>
          <t>5400269206956</t>
        </is>
      </c>
      <c r="G130" s="4" t="inlineStr">
        <is>
          <t>Szeretne különleges ízvilágot varázsolni az otthoni barbecue élménybe? Ismerje meg a Barbecook BC-SMO-5017 Oskar S zománcozott füstölőt, a tökéletes eszközt a füstös ízű húsok és halak elkészítéséhez. 
Akár egy új ízvilág felfedezésére vágyik, akár profi füstölt ételek készítésében szeretne tökéletesedni, az Oskar S füstölő minden igényt kielégít.
A Barbecook Oskar S füstölője egy multifunkcionális 2 az 1-ben eszköz, amely lehetővé teszi, hogy füstöléssel vagy hagyományos grillezéssel készítse el ételeit. Zománcozott bevonatának köszönhetően ez a 2 az 1-ben eszköz nemcsak magas minőségű, hanem rendkívül könnyen karbantartható. Használata során választhat, hogy az erős krómozott acélrácsokon helyezi el az ételeket, vagy a füstölő belsejébe szerelt, masszív akasztókon függeszti őket. Az állítható légellátásnak és a fedél tetején elhelyezett integrált hőmérőnek köszönhetően maximális ellenőrzést gyakorolhat a füstölési folyamat felett. Az Oskar S füstölővel mind melegen, mind hidegen füstölhet. A lehetőségek szinte végtelenek ezzel a füstölővel. Valóban megéri az befektetést!
Az Oskar S füstölő működtetése rendkívül egyszerű, legyen szó meleg vagy hideg füstölésről. A hideg füstölés 20 és 25 °C közötti hőmérsékleten történik, ami ideális a hideg téli hónapokban. Ehhez el kell helyezni a füstölőbe egy hidegfüst generátort  (Barbecook BC-SMO-5021). A meleg füstölés 70 és 75 °C közötti hőmérsékleten zajlik, ahol az ételek megfőnek és füstös ízt kapnak. Ehhez fa vagy szén, Barbecook gyújtókockák, hosszú gyufa vagy öngyújtó, valamint víz, húsleves vagy bor szükséges. Az Oskar S füstölővel való füstölés során a hőmérsékletet egyszerűen szabályozhatja a légellátó nyílások nyitásával vagy zárásával.
Néhány információ az Oskar S füstölőről:
* Multifunkcionális 2 az 1-ben kialakítás: füstölő és grill
* Magasság: 112 cm
* Elegáns fekete szín króm ráccsal, amelynek átmérője 44 cm
* Zománcozott bevonat a könnyű karbantartás érdekében
* Erős grillrácsok és akasztók
* Állítható légellátás az ellenőrzés érdekében
* Integrált hőmérő a fedélben
Fedezze fel az Oskar S füstölővel az ételek különleges ízvilágát, és tegye az otthoni grillezést felejthetetlen élménnyé.</t>
        </is>
      </c>
    </row>
    <row r="131">
      <c r="A131" s="6" t="inlineStr">
        <is>
          <t xml:space="preserve">      Grillezés / Grill kiegészítő / Grillgyújtók</t>
        </is>
      </c>
      <c r="B131" s="6" t="inlineStr">
        <is>
          <t/>
        </is>
      </c>
      <c r="C131" s="6" t="inlineStr">
        <is>
          <t/>
        </is>
      </c>
      <c r="D131" s="6" t="inlineStr">
        <is>
          <t/>
        </is>
      </c>
      <c r="E131" s="6" t="inlineStr">
        <is>
          <t/>
        </is>
      </c>
      <c r="F131" s="6" t="inlineStr">
        <is>
          <t/>
        </is>
      </c>
      <c r="G131" s="6" t="inlineStr">
        <is>
          <t/>
        </is>
      </c>
    </row>
    <row r="132">
      <c r="A132" s="3" t="inlineStr">
        <is>
          <t>BC-ACC-7113</t>
        </is>
      </c>
      <c r="B132" s="2" t="inlineStr">
        <is>
          <t>Barbecook BC-ACC-7113 fakocka begyújtó, 72db-os</t>
        </is>
      </c>
      <c r="C132" s="1" t="n">
        <v>2190.0</v>
      </c>
      <c r="D132" s="7" t="n">
        <f>HYPERLINK("https://www.somogyi.hu/product/barbecook-bc-acc-7113-fakocka-begyujto-72db-os-bc-acc-7113-18789","https://www.somogyi.hu/product/barbecook-bc-acc-7113-fakocka-begyujto-72db-os-bc-acc-7113-18789")</f>
        <v>0.0</v>
      </c>
      <c r="E132" s="7" t="n">
        <f>HYPERLINK("https://www.somogyi.hu/data/img/product_main_images/small/18789.jpg","https://www.somogyi.hu/data/img/product_main_images/small/18789.jpg")</f>
        <v>0.0</v>
      </c>
      <c r="F132" s="2" t="inlineStr">
        <is>
          <t>5400269217860</t>
        </is>
      </c>
      <c r="G132" s="4" t="inlineStr">
        <is>
          <t>Szeretne gyorsan és biztonságosan begyújtani faszenes grillt vagy füstölőt? A Barbecook BC-ACC-7113 fakocka begyújtóval ez a feladat gyerekjáték lesz. 
Ez a 72 darabos, környezetbarát begyújtó kocka csomag garantálja, hogy a tűzgyújtás egyszerű és gyors folyamat legyen, legyen szó bármilyen típusú grillről vagy tűzről.
A grill begyújtó kockák használata rendkívül egyszerű. A faszenes grill esetében a legjobb, ha ezeket grillgyújtó kéménnyel kombinálva használjuk. Helyezzen három begyújtó kockát a grill aljára, és helyezze fölé a grillgyújtó kéményt, majd töltse meg faszénnel vagy brikettel. Gyújtsa meg a kockákat egy hosszú gyufával vagy öngyújtóval a grillgyújtó kémény  alján található nyílásokon keresztül. A grillgyújtó kémény felszívja az alulról érkező meleg levegőt és elosztja a faszén vagy brikett között. Fontos, hogy jó légáramlás legyen, tehát nem érdemes a begyújtó kockákat közvetlenül a faszén vagy brikett közé tenni, mert így oxigénhiány léphet fel. 
Fa grilleknél, tűzgyűrűknél és tűzkosaraknál is gondoskodni kell elegendő oxigénről, hogy a begyújtó kockák elvégezhessék a dolgukat. Ne takarja be a begyújtó kockákat a fával. Ilyen típusú eszközöknél a következő módon gyújthatja meg a tüzet: tegyen néhány gyújtószálat és néhány begyújtó kockát az aljára, majd gyújtsa meg őket. Ezután építsen fel egy piramist körülbelül 5 darab fahasábból. Amint a tűz égni kezd, a trükk az, hogy fenntartsa és ugyanazon a hőmérsékleten tartsa azt. Ezt úgy teheti meg, hogy a kevésbé izzó helyeken újabb rönköket ad hozzá. Kerülje a tiszta szesz vagy benzin használatát a tűz felgyorsítása érdekében. Ezek káros anyagokat bocsátanak ki és súlyos égési sérüléseket okozhatnak!
A Barbecook begyújtó kockáinak előnyei közé tartozik, hogy teljesen természetesek: préselt fa rostokból és növényi olajokból állnak, és teljesen CO2-semlegesen égnek el. Ez egy kiváló választás azok számára, akik egészségesen és fenntartható módon szeretnének grillezni. Emellett a begyújtó kockák korlátlan ideig eltarthatók. Akár ma használja őket, akár néhány éven belül, a minőségük változatlan marad. Ráadásul a kockák teljesen szagtalanok, így grillezési munkálatai vagy a tűz körüli kellemes pillanatai során semmilyen zavaró szag nem fogja Önt zavarni.
Válassza a Barbecook BC-ACC-7113 fakocka begyújtót, és tegye a grillélményt egyszerűvé és környezetbaráttá!</t>
        </is>
      </c>
    </row>
    <row r="133">
      <c r="A133" s="3" t="inlineStr">
        <is>
          <t>BC-ACC-7413</t>
        </is>
      </c>
      <c r="B133" s="2" t="inlineStr">
        <is>
          <t>Barbecook BC-ACC-7413 rozsdamentes acél faszén begyújtó</t>
        </is>
      </c>
      <c r="C133" s="1" t="n">
        <v>16090.0</v>
      </c>
      <c r="D133" s="7" t="n">
        <f>HYPERLINK("https://www.somogyi.hu/product/barbecook-bc-acc-7413-rozsdamentes-acel-faszen-begyujto-bc-acc-7413-18841","https://www.somogyi.hu/product/barbecook-bc-acc-7413-rozsdamentes-acel-faszen-begyujto-bc-acc-7413-18841")</f>
        <v>0.0</v>
      </c>
      <c r="E133" s="7" t="n">
        <f>HYPERLINK("https://www.somogyi.hu/data/img/product_main_images/small/18841.jpg","https://www.somogyi.hu/data/img/product_main_images/small/18841.jpg")</f>
        <v>0.0</v>
      </c>
      <c r="F133" s="2" t="inlineStr">
        <is>
          <t>5420059848654</t>
        </is>
      </c>
      <c r="G133" s="4" t="inlineStr">
        <is>
          <t>Keresi a leggyorsabb és legegyszerűbb módját a grill vagy tűzrakóhely begyújtásának? A Barbecook BC-ACC-7413 rozsdamentes acél faszénbegyújtóval pillanatok alatt parázslani fog a faszén, így több idő marad az élvezetekre.
Ez a kiváló minőségű, rozsdamentes acélból készült faszénbegyújtó a Barbecook-tól, forradalmasítja a grillezés előkészületeit. Az egyszerű és biztonságos begyújtást a Safe-drop rendszer teszi lehetővé, mely garantálja, hogy a forró faszenet kockázatmentesen és egyszerűen helyezheti át a grillbe. A 16,5x27,5 cm méretű eszköz kényelmes fogású, hőálló védőlemezzel ellátott nyéllel rendelkezik, így megóvja kezét a hőtől.
Használata rendkívül egyszerű: töltse meg faszénnel a begyújtót, helyezzen alá éghető anyagot, majd gyújtsa meg. A begyújtóban lévő faszén gyorsan és egyenletesen felparázslik, ezzel jelentősen csökkentve a grillezésig eltelt időt.
Szerezze be a Barbecook BC-ACC-7413 rozsdamentes acél faszénbegyújtót, és tapasztalja meg, milyen könnyedén teheti gyorsabbá és biztonságosabbá a grillezés kezdeti lépéseit. Kezdje a grillezést stresszmentesen, hogy minden figyelme az ízekre és a társaságra irányulhasson!</t>
        </is>
      </c>
    </row>
    <row r="134">
      <c r="A134" s="3" t="inlineStr">
        <is>
          <t>BC-ACC-7426</t>
        </is>
      </c>
      <c r="B134" s="2" t="inlineStr">
        <is>
          <t>Barbecook BC-ACC-7426 tűzgyújtó fagyapot, 32db-os</t>
        </is>
      </c>
      <c r="C134" s="1" t="n">
        <v>3190.0</v>
      </c>
      <c r="D134" s="7" t="n">
        <f>HYPERLINK("https://www.somogyi.hu/product/barbecook-bc-acc-7426-tuzgyujto-fagyapot-32db-os-bc-acc-7426-18843","https://www.somogyi.hu/product/barbecook-bc-acc-7426-tuzgyujto-fagyapot-32db-os-bc-acc-7426-18843")</f>
        <v>0.0</v>
      </c>
      <c r="E134" s="7" t="n">
        <f>HYPERLINK("https://www.somogyi.hu/data/img/product_main_images/small/18843.jpg","https://www.somogyi.hu/data/img/product_main_images/small/18843.jpg")</f>
        <v>0.0</v>
      </c>
      <c r="F134" s="2" t="inlineStr">
        <is>
          <t>5420059857335</t>
        </is>
      </c>
      <c r="G134" s="4" t="inlineStr">
        <is>
          <t>Unja már, hogy a faszenes grill, a füstölő, vagy a tűzkosár meggyújtása örökkévalóságnak tűnik? A Barbecook BC-ACC-7426 tűzgyújtó fagyapot a gyors és környezetbarát megoldás a tűzgyújtáshoz. 
FSC® minősítésű, ami garantálja, hogy a termék az erdőgazdálkodás szigorú fenntarthatósági előírásai szerint készült.
Ez a 100%-ban természetes tűzgyújtó fagyapot akár 8-10 percig is ég, elegendő időt biztosítva a faszén, füstölő vagy tűzkosarak hatékony meggyújtásához. A 32 darabos kiszerelés biztosítja, hogy mindig legyen kéznél egy gyors megoldás, ha grillezni támad kedve.
A Barbecook tűzgyújtó fagyapot használatával nem csak időt takarít meg, de a környezetet is óvja. Az FSC® minősítés nem csak a természet iránti elkötelezettségünket jelzi, hanem azt is, hogy a Barbecook termékeivel felelősen hozzájárul az erdők megóvásához. A gyorsabb begyújtás és a természetes összetevők révén tiszta lelkiismerettel élvezheti a grillezés minden pillanatát.
Ne hagyja, hogy a tűzgyújtás elvegye a grillezés örömét. Válassza a Barbecook BC-ACC-7426 tűzgyújtó fagyapotot a gyors, egyszerű és környezetbarát megoldásért, ami tökéletes társ lesz minden szabadtéri sütögetéshez.</t>
        </is>
      </c>
    </row>
    <row r="135">
      <c r="A135" s="6" t="inlineStr">
        <is>
          <t xml:space="preserve">      Grillezés / Grill kiegészítő / Grill takaróponyvák</t>
        </is>
      </c>
      <c r="B135" s="6" t="inlineStr">
        <is>
          <t/>
        </is>
      </c>
      <c r="C135" s="6" t="inlineStr">
        <is>
          <t/>
        </is>
      </c>
      <c r="D135" s="6" t="inlineStr">
        <is>
          <t/>
        </is>
      </c>
      <c r="E135" s="6" t="inlineStr">
        <is>
          <t/>
        </is>
      </c>
      <c r="F135" s="6" t="inlineStr">
        <is>
          <t/>
        </is>
      </c>
      <c r="G135" s="6" t="inlineStr">
        <is>
          <t/>
        </is>
      </c>
    </row>
    <row r="136">
      <c r="A136" s="3" t="inlineStr">
        <is>
          <t>BC-ACC-7174</t>
        </is>
      </c>
      <c r="B136" s="2" t="inlineStr">
        <is>
          <t>Barbecook BC-ACC-7174 prémium gázgrill takaró, 90x55x80cm, fekete, kis méret</t>
        </is>
      </c>
      <c r="C136" s="1" t="n">
        <v>26790.0</v>
      </c>
      <c r="D136" s="7" t="n">
        <f>HYPERLINK("https://www.somogyi.hu/product/barbecook-bc-acc-7174-premium-gazgrill-takaro-90x55x80cm-fekete-kis-meret-bc-acc-7174-18777","https://www.somogyi.hu/product/barbecook-bc-acc-7174-premium-gazgrill-takaro-90x55x80cm-fekete-kis-meret-bc-acc-7174-18777")</f>
        <v>0.0</v>
      </c>
      <c r="E136" s="7" t="n">
        <f>HYPERLINK("https://www.somogyi.hu/data/img/product_main_images/small/18777.jpg","https://www.somogyi.hu/data/img/product_main_images/small/18777.jpg")</f>
        <v>0.0</v>
      </c>
      <c r="F136" s="2" t="inlineStr">
        <is>
          <t>5400269210885</t>
        </is>
      </c>
      <c r="G136" s="4" t="inlineStr">
        <is>
          <t>Keresi a tökéletes megoldást grillje védelmére az év minden napjára? A Barbecook BC-ACC-7174 prémium grilltakaróval biztos lehet benne, hogy grillje biztonságban van. 
Ez a különlegesen tervezett takaró tökéletesen illeszkedik a Barbecook Spring 2002, Alexia 5011/5111, Magnus Original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90x55x80cm, ez a grilltakaró pontosan és megbízhatóan védi meg a grillt az időjárás viszontagságaitól.
Válassza a Barbecook BC-ACC-7174 prémium grilltakarót, hogy grillje éveken át megőrizhesse minőségét és készen álljon a következő sütésre.</t>
        </is>
      </c>
    </row>
    <row r="137">
      <c r="A137" s="3" t="inlineStr">
        <is>
          <t>BC-ACC-7170</t>
        </is>
      </c>
      <c r="B137" s="2" t="inlineStr">
        <is>
          <t>Barbecook BC-ACC-7170 prémium grilltakaró, 66cm átmérő, fekete</t>
        </is>
      </c>
      <c r="C137" s="1" t="n">
        <v>15690.0</v>
      </c>
      <c r="D137" s="7" t="n">
        <f>HYPERLINK("https://www.somogyi.hu/product/barbecook-bc-acc-7170-premium-grilltakaro-66cm-atmero-fekete-bc-acc-7170-18776","https://www.somogyi.hu/product/barbecook-bc-acc-7170-premium-grilltakaro-66cm-atmero-fekete-bc-acc-7170-18776")</f>
        <v>0.0</v>
      </c>
      <c r="E137" s="7" t="n">
        <f>HYPERLINK("https://www.somogyi.hu/data/img/product_main_images/small/18776.jpg","https://www.somogyi.hu/data/img/product_main_images/small/18776.jpg")</f>
        <v>0.0</v>
      </c>
      <c r="F137" s="2" t="inlineStr">
        <is>
          <t>5400269210823</t>
        </is>
      </c>
      <c r="G137" s="4" t="inlineStr">
        <is>
          <t>Gondolkodott már azon, hogyan óvhatná meg grilljét az időjárás viszontagságaitól? A Barbecook BC-ACC-7170 prémium grilltakaró a tökéletes megoldás a Loewy 50 és Oskar S típusú, illetve a kompatibilis grillek védelmére. 
Ezzel a kiváló minőségű, puha és szakadásálló poliészterből készült takaróval biztos lehet abban, hogy grillje hosszú távon megőrzi eredeti állapotát.
Az UV-állóság és a vízlepergető, valamint légáteresztő tulajdonságok garantálják, hogy a grilltakaró alatt a grillje mindig száraz és újszerű marad. A 66x66x67cm-es méret tökéletes illeszkedést biztosítanak, így nem kell aggódnia a szél általi elmozdulás vagy a pontatlan takarás miatt.
Tegye biztonságossá grillje tárolását a Barbecook BC-ACC-7170 prémium grilltakaróval.</t>
        </is>
      </c>
    </row>
    <row r="138">
      <c r="A138" s="3" t="inlineStr">
        <is>
          <t>BC-ACC-7176</t>
        </is>
      </c>
      <c r="B138" s="2" t="inlineStr">
        <is>
          <t>Barbecook BC-ACC-7176 prémium gázgrill takaró, 120x55x95cm, fekete, közepes méret</t>
        </is>
      </c>
      <c r="C138" s="1" t="n">
        <v>31290.0</v>
      </c>
      <c r="D138" s="7" t="n">
        <f>HYPERLINK("https://www.somogyi.hu/product/barbecook-bc-acc-7176-premium-gazgrill-takaro-120x55x95cm-fekete-kozepes-meret-bc-acc-7176-18778","https://www.somogyi.hu/product/barbecook-bc-acc-7176-premium-gazgrill-takaro-120x55x95cm-fekete-kozepes-meret-bc-acc-7176-18778")</f>
        <v>0.0</v>
      </c>
      <c r="E138" s="7" t="n">
        <f>HYPERLINK("https://www.somogyi.hu/data/img/product_main_images/small/18778.jpg","https://www.somogyi.hu/data/img/product_main_images/small/18778.jpg")</f>
        <v>0.0</v>
      </c>
      <c r="F138" s="2" t="inlineStr">
        <is>
          <t>5400269210816</t>
        </is>
      </c>
      <c r="G138" s="4" t="inlineStr">
        <is>
          <t>Keresi a tökéletes megoldást grillje védelmére az év minden napjára? A Barbecook BC-ACC-7176 prémium grilltakaróval biztos lehet benne, hogy grillje biztonságban van. 
Ez a különlegesen tervezett takaró tökéletesen illeszkedik a Barbecook Siesta 210 és a Magnus Comfort és Premium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120x55x95cm, ez a grilltakaró pontosan és megbízhatóan védi meg a grillt az időjárás viszontagságaitól.
Válassza a Barbecook BC-ACC-7176 prémium grilltakarót, hogy grillje éveken át megőrizhesse minőségét és készen álljon a következő sütésre.</t>
        </is>
      </c>
    </row>
    <row r="139">
      <c r="A139" s="3" t="inlineStr">
        <is>
          <t>BC-ACC-7172</t>
        </is>
      </c>
      <c r="B139" s="2" t="inlineStr">
        <is>
          <t>Barbecook BC-ACC-7172 prémium gázgrill takaró, 151x56,5x107cm, fekete, nagy méret</t>
        </is>
      </c>
      <c r="C139" s="1" t="n">
        <v>37990.0</v>
      </c>
      <c r="D139" s="7" t="n">
        <f>HYPERLINK("https://www.somogyi.hu/product/barbecook-bc-acc-7172-premium-gazgrill-takaro-151x56-5x107cm-fekete-nagy-meret-bc-acc-7172-18779","https://www.somogyi.hu/product/barbecook-bc-acc-7172-premium-gazgrill-takaro-151x56-5x107cm-fekete-nagy-meret-bc-acc-7172-18779")</f>
        <v>0.0</v>
      </c>
      <c r="E139" s="7" t="n">
        <f>HYPERLINK("https://www.somogyi.hu/data/img/product_main_images/small/18779.jpg","https://www.somogyi.hu/data/img/product_main_images/small/18779.jpg")</f>
        <v>0.0</v>
      </c>
      <c r="F139" s="2" t="inlineStr">
        <is>
          <t>5400269210809</t>
        </is>
      </c>
      <c r="G139" s="4" t="inlineStr">
        <is>
          <t>Keresi a tökéletes megoldást grillje védelmére az év minden napjára? A Barbecook BC-ACC-7170 prémium grilltakaróval biztos lehet benne, hogy grillje biztonságban van. 
Ez a különlegesen tervezett takaró tökéletesen illeszkedik a Barbecook Spring 3002/3112/3212, Siesta 310/412/612 és Stella 3021/3221/4311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151x56,5x107cm, ez a grilltakaró pontosan és megbízhatóan védi meg a grillt az időjárás viszontagságaitól.
Válassza a Barbecook BC-ACC-7170 prémium grilltakarót, hogy grillje éveken át megőrizhesse minőségét és készen álljon a következő sütésre.</t>
        </is>
      </c>
    </row>
    <row r="140">
      <c r="A140" s="3" t="inlineStr">
        <is>
          <t>BC-ACC-7414</t>
        </is>
      </c>
      <c r="B140" s="2" t="inlineStr">
        <is>
          <t>Barbecook BC-ACC-7414 prémium grilltakaró Edson faszenes grillhez</t>
        </is>
      </c>
      <c r="C140" s="1" t="n">
        <v>26790.0</v>
      </c>
      <c r="D140" s="7" t="n">
        <f>HYPERLINK("https://www.somogyi.hu/product/barbecook-bc-acc-7414-premium-grilltakaro-edson-faszenes-grillhez-bc-acc-7414-18842","https://www.somogyi.hu/product/barbecook-bc-acc-7414-premium-grilltakaro-edson-faszenes-grillhez-bc-acc-7414-18842")</f>
        <v>0.0</v>
      </c>
      <c r="E140" s="7" t="n">
        <f>HYPERLINK("https://www.somogyi.hu/data/img/product_main_images/small/18842.jpg","https://www.somogyi.hu/data/img/product_main_images/small/18842.jpg")</f>
        <v>0.0</v>
      </c>
      <c r="F140" s="2" t="inlineStr">
        <is>
          <t>5420059853597</t>
        </is>
      </c>
      <c r="G140" s="4" t="inlineStr">
        <is>
          <t>Keresi a tökéletes megoldást a Barbecook Edson grill védelmére az év minden napjára? A Barbecook BC-ACC-7414 prémium grilltakaróval biztos lehet benne, hogy grillje biztonságban van. 
Ez a különlegesen tervezett takaró tökéletesen illeszkedik a Barbecook Edson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66x85cm, ez a grilltakaró pontosan és megbízhatóan védi meg a grillt az időjárás viszontagságaitól.
Válassza a Barbecook BC-ACC-7414 prémium grilltakarót, hogy grillje éveken át megőrizhesse minőségét és készen álljon a következő sütésre.</t>
        </is>
      </c>
    </row>
    <row r="141">
      <c r="A141" s="3" t="inlineStr">
        <is>
          <t>BC-ACC-7445</t>
        </is>
      </c>
      <c r="B141" s="2" t="inlineStr">
        <is>
          <t>Barbecook BC-ACC-7445 prémium grilltakaró Kamal kamado faszenes grillhez</t>
        </is>
      </c>
      <c r="C141" s="1" t="n">
        <v>29090.0</v>
      </c>
      <c r="D141" s="7" t="n">
        <f>HYPERLINK("https://www.somogyi.hu/product/barbecook-bc-acc-7445-premium-grilltakaro-kamal-kamado-faszenes-grillhez-bc-acc-7445-18795","https://www.somogyi.hu/product/barbecook-bc-acc-7445-premium-grilltakaro-kamal-kamado-faszenes-grillhez-bc-acc-7445-18795")</f>
        <v>0.0</v>
      </c>
      <c r="E141" s="7" t="n">
        <f>HYPERLINK("https://www.somogyi.hu/data/img/product_main_images/small/18795.jpg","https://www.somogyi.hu/data/img/product_main_images/small/18795.jpg")</f>
        <v>0.0</v>
      </c>
      <c r="F141" s="2" t="inlineStr">
        <is>
          <t>5420059859667</t>
        </is>
      </c>
      <c r="G141" s="4" t="inlineStr">
        <is>
          <t>Keresi a tökéletes megoldást a Barbecook Kamal kamado grill védelmére az év minden napjára? A Barbecook BC-ACC-7445 Kamal kamado prémium grilltakaróval biztos lehet, hogy grillje biztonságban van. 
Ez a különlegesen tervezett takaró tökéletesen illeszkedik a Barbecook Kamal kamado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82,5x90cm, ez a grilltakaró pontosan és megbízhatóan védi meg a grillt az időjárás viszontagságaitól.
Válassza a Barbecook BC-ACC-7445 prémium grilltakarót, hogy grillje éveken át megőrizhesse minőségét és készen álljon a következő sütésre.</t>
        </is>
      </c>
    </row>
    <row r="142">
      <c r="A142" s="6" t="inlineStr">
        <is>
          <t xml:space="preserve">      Grillezés / Grill kiegészítő / Grillező eszözök</t>
        </is>
      </c>
      <c r="B142" s="6" t="inlineStr">
        <is>
          <t/>
        </is>
      </c>
      <c r="C142" s="6" t="inlineStr">
        <is>
          <t/>
        </is>
      </c>
      <c r="D142" s="6" t="inlineStr">
        <is>
          <t/>
        </is>
      </c>
      <c r="E142" s="6" t="inlineStr">
        <is>
          <t/>
        </is>
      </c>
      <c r="F142" s="6" t="inlineStr">
        <is>
          <t/>
        </is>
      </c>
      <c r="G142" s="6" t="inlineStr">
        <is>
          <t/>
        </is>
      </c>
    </row>
    <row r="143">
      <c r="A143" s="3" t="inlineStr">
        <is>
          <t>BC-ACC-7049</t>
        </is>
      </c>
      <c r="B143" s="2" t="inlineStr">
        <is>
          <t>Barbecook BC-ACC-7049 4db-os Olivia rozsdamentes acél steak kés, ergonómikus nyél, 25cm</t>
        </is>
      </c>
      <c r="C143" s="1" t="n">
        <v>8990.0</v>
      </c>
      <c r="D143" s="7" t="n">
        <f>HYPERLINK("https://www.somogyi.hu/product/barbecook-bc-acc-7049-4db-os-olivia-rozsdamentes-acel-steak-kes-ergonomikus-nyel-25cm-bc-acc-7049-18741","https://www.somogyi.hu/product/barbecook-bc-acc-7049-4db-os-olivia-rozsdamentes-acel-steak-kes-ergonomikus-nyel-25cm-bc-acc-7049-18741")</f>
        <v>0.0</v>
      </c>
      <c r="E143" s="7" t="n">
        <f>HYPERLINK("https://www.somogyi.hu/data/img/product_main_images/small/18741.jpg","https://www.somogyi.hu/data/img/product_main_images/small/18741.jpg")</f>
        <v>0.0</v>
      </c>
      <c r="F143" s="2" t="inlineStr">
        <is>
          <t>5400269210779</t>
        </is>
      </c>
      <c r="G143" s="4" t="inlineStr">
        <is>
          <t>A tökéletes steak kést keresi, ami stílusos és könnyen használható? A Barbecook BC-ACC-7049 Olivia rozsdamentes acél steak kés négy darabos készlete garantálja, hogy a hús szeletelése mindig precíz és erőfeszítés nélküli legyen, legyen szó bármilyen típusú húsról.
Ez a kiváló minőségű steak kés készlet ergonomikus nyéllel rendelkezik, ami nemcsak kényelmes fogást biztosít, hanem segít a szeletelés pontos végrehajtásában is. A 25x3,5x2cm-es kés tökéletes méretű, így minden típusú hússzeletelési feladathoz ideális.
Az Olivia steak kés készlettel a hús szeletelése nemcsak egyszerűbb, hanem élvezetesebb is lesz. A rozsdamentes acél pengék garantálják a tartósságot és az éles vágást hosszú távon, így a kés készlet hosszú ideig megtartja használhatóságát.
Válassza a Barbecook BC-ACC-7049 Olivia rozsdamentes acél steak kés készletet, és emelje a hús szeletelési élményt új szintre.</t>
        </is>
      </c>
    </row>
    <row r="144">
      <c r="A144" s="3" t="inlineStr">
        <is>
          <t>10-238-005</t>
        </is>
      </c>
      <c r="B144" s="2" t="inlineStr">
        <is>
          <t>Nava 10-238-005 BBQ Guru rozsdamentes acél grill spatula és kaparó,fa nyél,  26 cm</t>
        </is>
      </c>
      <c r="C144" s="1" t="n">
        <v>1791.0</v>
      </c>
      <c r="D144" s="7" t="n">
        <f>HYPERLINK("https://www.somogyi.hu/product/nava-10-238-005-bbq-guru-rozsdamentes-acel-grill-spatula-es-kaparo-fa-nyel-26-cm-10-238-005-18673","https://www.somogyi.hu/product/nava-10-238-005-bbq-guru-rozsdamentes-acel-grill-spatula-es-kaparo-fa-nyel-26-cm-10-238-005-18673")</f>
        <v>0.0</v>
      </c>
      <c r="E144" s="7" t="n">
        <f>HYPERLINK("https://www.somogyi.hu/data/img/product_main_images/small/18673.jpg","https://www.somogyi.hu/data/img/product_main_images/small/18673.jpg")</f>
        <v>0.0</v>
      </c>
      <c r="F144" s="2" t="inlineStr">
        <is>
          <t>5205746153378</t>
        </is>
      </c>
      <c r="G144" s="4" t="inlineStr">
        <is>
          <t>Szeretne egy sokoldalú spatulát, ami megkönnyíti a grillezést és a grill tisztítását is? A Nava 10-238-005 BBQ Guru rozsdamentes acél grill spatula nélkülözhetetlen eszköz minden BBQ szerető számára, amely valódi segítséget nyújt a grill mellett. 
Kiváló minőségű rozsdamentes acélból készült, rendkívüli tartósságot biztosít hosszú távú használatra. Ergonomikus, csúszásmentes fa fogantyúja kényelmes és biztonságos kezelést tesz lehetővé. Ez a széles spatula két funkcióval rendelkezik: egyrészt tökéletesen alkalmas a sültek elhelyezésére és megfordítására a grillen, másrészt a grillrácson megragadt zsírok eltávolítására is használható. Mosogatógépben mosható, így a tisztítása is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rozsdamentes acél grill spatula tökéletes választás mindenki számára, aki szeretné egyszerűsíteni a grillezési folyamatot és megkönnyíteni a grill utáni takarítást.</t>
        </is>
      </c>
    </row>
    <row r="145">
      <c r="A145" s="3" t="inlineStr">
        <is>
          <t>10-238-004</t>
        </is>
      </c>
      <c r="B145" s="2" t="inlineStr">
        <is>
          <t>Nava 10-238-004 BBQ Guru szilikon ecset, fa nyél, 41 cm</t>
        </is>
      </c>
      <c r="C145" s="1" t="n">
        <v>1341.0</v>
      </c>
      <c r="D145" s="7" t="n">
        <f>HYPERLINK("https://www.somogyi.hu/product/nava-10-238-004-bbq-guru-szilikon-ecset-fa-nyel-41-cm-10-238-004-18674","https://www.somogyi.hu/product/nava-10-238-004-bbq-guru-szilikon-ecset-fa-nyel-41-cm-10-238-004-18674")</f>
        <v>0.0</v>
      </c>
      <c r="E145" s="7" t="n">
        <f>HYPERLINK("https://www.somogyi.hu/data/img/product_main_images/small/18674.jpg","https://www.somogyi.hu/data/img/product_main_images/small/18674.jpg")</f>
        <v>0.0</v>
      </c>
      <c r="F145" s="2" t="inlineStr">
        <is>
          <t>5205746152937</t>
        </is>
      </c>
      <c r="G145" s="4" t="inlineStr">
        <is>
          <t>Szeretné egyenletesen eloszlatni a mártásokat és olajokat a grillezés során? A Nava 10-238-004 BBQ Guru szilikon ecset minden grillező álma, amely tökéletes társ a BBQ szezonban.
Különleges kialakítású, 41  cm hosszú nyelével könnyedén kezelhető még a legforróbb grill felett is, miközben az ergonomikus, csúszásmentes fa fogantyú kényelmes és biztonságos fogást nyújt.
Tartsa kezeit biztonságban a tűztől, és használja ezt a speciálisan tervezett szilikon ecsetet, hogy egyenletesen tudja eloszlatni a mártásokat a húsokon. A rozsdamentes acélból készült ecset rendkívüli tartósságot biztosít hosszú távú használathoz. Mosogatógépben is tisztítható, így a karbantartása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szilikon ecsettel minden grillezési élmény egyszerűbbé és élvezetesebbé válik.</t>
        </is>
      </c>
    </row>
    <row r="146">
      <c r="A146" s="3" t="inlineStr">
        <is>
          <t>BC-ACC-7470</t>
        </is>
      </c>
      <c r="B146" s="2" t="inlineStr">
        <is>
          <t>Barbecook BC-ACC-7470 bőr grillkesztyű</t>
        </is>
      </c>
      <c r="C146" s="1" t="n">
        <v>11190.0</v>
      </c>
      <c r="D146" s="7" t="n">
        <f>HYPERLINK("https://www.somogyi.hu/product/barbecook-bc-acc-7470-bor-grillkesztyu-bc-acc-7470-18726","https://www.somogyi.hu/product/barbecook-bc-acc-7470-bor-grillkesztyu-bc-acc-7470-18726")</f>
        <v>0.0</v>
      </c>
      <c r="E146" s="7" t="n">
        <f>HYPERLINK("https://www.somogyi.hu/data/img/product_main_images/small/18726.jpg","https://www.somogyi.hu/data/img/product_main_images/small/18726.jpg")</f>
        <v>0.0</v>
      </c>
      <c r="F146" s="2" t="inlineStr">
        <is>
          <t>5404035706749</t>
        </is>
      </c>
      <c r="G146" s="4" t="inlineStr">
        <is>
          <t>Gondoskodott már kezei védelméről ha grillezésről van szó? A Barbecook BC-ACC-7470 bőr grillkesztyű kiváló választás minden grillező számára, aki biztonságosan akar sütni. 
Ezek a 100%-ban bőrből készült, hőálló kesztyűk akár 200°C-os hőmérsékletig biztosítanak védelmet, így Ön nyugodtan koncentrálhat az ízek varázslatára, anélkül, hogy aggódnia kellene kezei épsége miatt. A kesztyűk fekete színű tenyér és ujj részei kevésbé érzékenyek a szennyeződésekre, így hosszabb ideig megőrzik tiszta megjelenésüket, még intenzív használat mellett is. A hosszú szár az alkar védelmét biztosítják, míg a praktikus hurok segítségével a kesztyűket könnyedén felakaszthatja, amikor éppen nem használja őket.
Legyen profi a grillezés terén a Barbecook BC-ACC-7470 bőr grillkesztyűvel, amely nemcsak védelmet nyújt, hanem stílusos kiegészítője is lesz grillezési felszerelésének.</t>
        </is>
      </c>
    </row>
    <row r="147">
      <c r="A147" s="3" t="inlineStr">
        <is>
          <t>BC-ACC-7083</t>
        </is>
      </c>
      <c r="B147" s="2" t="inlineStr">
        <is>
          <t>Barbecook BC-ACC-7083 grillháló, 36x42cm</t>
        </is>
      </c>
      <c r="C147" s="1" t="n">
        <v>3590.0</v>
      </c>
      <c r="D147" s="7" t="n">
        <f>HYPERLINK("https://www.somogyi.hu/product/barbecook-bc-acc-7083-grillhalo-36x42cm-bc-acc-7083-18736","https://www.somogyi.hu/product/barbecook-bc-acc-7083-grillhalo-36x42cm-bc-acc-7083-18736")</f>
        <v>0.0</v>
      </c>
      <c r="E147" s="7" t="n">
        <f>HYPERLINK("https://www.somogyi.hu/data/img/product_main_images/small/18736.jpg","https://www.somogyi.hu/data/img/product_main_images/small/18736.jpg")</f>
        <v>0.0</v>
      </c>
      <c r="F147" s="2" t="inlineStr">
        <is>
          <t>5400269238773</t>
        </is>
      </c>
      <c r="G147" s="4" t="inlineStr">
        <is>
          <t>Unja már, hogy sütéskor az ételek odaragadnak a grillrácsra? A Barbecook BC-ACC-7083 grillhálóval ez már a múlté! Ez az innovatív grillkellék megváltoztatja a grillezés módját, megkönnyítve az előkészületeket és takarítást, így Ön több időt tölthet a vendégeivel és kevesebbet mosogatással.
A 36x42 cm méretű grillháló kifejezetten apróbb ételek, mint például zöldségek, tengeri herkentyűk vagy kisebb húsok grillezésére lett tervezve. Az Icflon® bevonattal ellátott, tapadásmentes felület garantálja, hogy ételei tökéletes állapotban kerüljenek a tányérra, anélkül, hogy a grillrácsra ragadnának. Ez nemcsak az ételek ízét javítja, hanem egészségesebbé is teszi őket, mivel kevesebb olaj vagy zsír szükséges a sütéshez.
A grillháló használata egyszerű: helyezze a hálót a szén- vagy gázgrill rácsára, és máris kész az egészséges, tapadásmentes sütőfelület. A kis méretű alapanyagok, mint például a nyársak részei sem esnek többé a rácsok közé, csökkentve az élelmiszer-pazarlást és a lángok felcsapódásának kockázatát, így biztonságosabbá téve a grillezést.
Tisztítása rendkívül egyszerű: hagyja hűlni a grillezés után, majd áztassa be meleg vízbe néhány csepp mosogatószerrel, ezt követően könnyedén eltávolíthatja az ételmaradékokat. A grillháló akár mosogatógépben is tisztítható, így a tisztán tartása semmilyen plusz erőfeszítést nem igényel.
Búcsút inthet a hosszadalmas takarításnak a Barbecook BC-ACC-7083 grillhálóval.</t>
        </is>
      </c>
    </row>
    <row r="148">
      <c r="A148" s="3" t="inlineStr">
        <is>
          <t>BC-ACC-7219</t>
        </is>
      </c>
      <c r="B148" s="2" t="inlineStr">
        <is>
          <t>Barbecook BC-ACC-7219 húspogácsa formázó, 11,5cm átmérő</t>
        </is>
      </c>
      <c r="C148" s="1" t="n">
        <v>7390.0</v>
      </c>
      <c r="D148" s="7" t="n">
        <f>HYPERLINK("https://www.somogyi.hu/product/barbecook-bc-acc-7219-huspogacsa-formazo-11-5cm-atmero-bc-acc-7219-18826","https://www.somogyi.hu/product/barbecook-bc-acc-7219-huspogacsa-formazo-11-5cm-atmero-bc-acc-7219-18826")</f>
        <v>0.0</v>
      </c>
      <c r="E148" s="7" t="n">
        <f>HYPERLINK("https://www.somogyi.hu/data/img/product_main_images/small/18826.jpg","https://www.somogyi.hu/data/img/product_main_images/small/18826.jpg")</f>
        <v>0.0</v>
      </c>
      <c r="F148" s="2" t="inlineStr">
        <is>
          <t>5420059844861</t>
        </is>
      </c>
      <c r="G148" s="4" t="inlineStr">
        <is>
          <t>Szeretné otthon elkészíteni a tökéletes hamburger húspogácsákat? A Barbecook BC-ACC-7219 húspogácsa formázóval mostantól egyszerűen és gyorsan készíthet professzionális minőségű hamburgereket saját konyhájában. 
Ez a praktikus eszköz garantálja, hogy minden húspogácsa egyforma méretű és formájú legyen, így az eredmény mindig tökéletes lesz. Az 11,5 cm átmérőjű formázó ideális méretet biztosít a húspogácsákhoz, ami tökéletesen illeszkedik a legtöbb hamburger zsemléhez. A formázó könnyen kezelhető és tisztítható kialakítása miatt nem kell órákat töltenie a konyhában az előkészületekkel és az utómunkálatokkal.
Legyen szó családi összejövetelről, baráti grillezésről vagy csak egy gyors hétköznapi vacsoráról, ez az eszköz segít abban, hogy a hamburgerkészítés mindig zökkenőmentes és élvezetes legyen.
Készítse el saját kézzel a legfinomabb hamburgereket a Barbecook BC-ACC-7219 húspogácsa formázó segítségével!</t>
        </is>
      </c>
    </row>
    <row r="149">
      <c r="A149" s="3" t="inlineStr">
        <is>
          <t>BC-ACC-7091</t>
        </is>
      </c>
      <c r="B149" s="2" t="inlineStr">
        <is>
          <t>Barbecook BC-ACC-7091 krómozott kolbászfogó, 40cm</t>
        </is>
      </c>
      <c r="C149" s="1" t="n">
        <v>1790.0</v>
      </c>
      <c r="D149" s="7" t="n">
        <f>HYPERLINK("https://www.somogyi.hu/product/barbecook-bc-acc-7091-kromozott-kolbaszfogo-40cm-bc-acc-7091-18824","https://www.somogyi.hu/product/barbecook-bc-acc-7091-kromozott-kolbaszfogo-40cm-bc-acc-7091-18824")</f>
        <v>0.0</v>
      </c>
      <c r="E149" s="7" t="n">
        <f>HYPERLINK("https://www.somogyi.hu/data/img/product_main_images/small/18824.jpg","https://www.somogyi.hu/data/img/product_main_images/small/18824.jpg")</f>
        <v>0.0</v>
      </c>
      <c r="F149" s="2" t="inlineStr">
        <is>
          <t>5400269209698</t>
        </is>
      </c>
      <c r="G149" s="4" t="inlineStr">
        <is>
          <t>Unja már a hagyományos grillfogókat, és valami újra vágyik? A Barbecook BC-ACC-7091 krómozott kolbászfogóval könnyedén megfordíthatja a kolbászokat, vagy akár más grillezendő ételeket is, anélkül, hogy megégetné magát vagy károsítaná az ételeket.
A kolbászfogó krómozott kialakítása nem csak esztétikus megjelenést biztosít, hanem hosszantartó használatot és könnyű tisztítást is ígér. A hőálló PVC fogantyú pedig gondoskodik arról, hogy a fogó használata közben a keze védve legyen a forróságtól. Tökéletes hossza (40cm) lehetővé teszi, hogy kényelmes távolságból is irányíthassa a sütési folyamatot. 
Szerezze be a Barbecook BC-ACC-7091 krómozott kolbászfogót, és tegye könnyebbé és biztonságosabbá a grillezést!</t>
        </is>
      </c>
    </row>
    <row r="150">
      <c r="A150" s="3" t="inlineStr">
        <is>
          <t>BC-ACC-7125</t>
        </is>
      </c>
      <c r="B150" s="2" t="inlineStr">
        <is>
          <t>Barbecook BC-ACC-7125 rozsdamentes acél grill halforgató, fa nyél, 100% FSC, 37cm</t>
        </is>
      </c>
      <c r="C150" s="1" t="n">
        <v>4890.0</v>
      </c>
      <c r="D150" s="7" t="n">
        <f>HYPERLINK("https://www.somogyi.hu/product/barbecook-bc-acc-7125-rozsdamentes-acel-grill-halforgato-fa-nyel-100-fsc-37cm-bc-acc-7125-18732","https://www.somogyi.hu/product/barbecook-bc-acc-7125-rozsdamentes-acel-grill-halforgato-fa-nyel-100-fsc-37cm-bc-acc-7125-18732")</f>
        <v>0.0</v>
      </c>
      <c r="E150" s="7" t="n">
        <f>HYPERLINK("https://www.somogyi.hu/data/img/product_main_images/small/18732.jpg","https://www.somogyi.hu/data/img/product_main_images/small/18732.jpg")</f>
        <v>0.0</v>
      </c>
      <c r="F150" s="2" t="inlineStr">
        <is>
          <t>5400269203009</t>
        </is>
      </c>
      <c r="G150" s="4" t="inlineStr">
        <is>
          <t>Keres egy megoldást, hogy halait tökéletesre grillezhesse, anélkül, hogy szétesnének? A Barbecook BC-ACC-7125 rozsdamentes acél grill halforgató pontosan ezt kínálja Önnek. 
Ez az eszköz kifejezetten a halak forgatásához lett tervezve, így garantálja, hogy kedvenc tengeri ételeit egyszerűen és kényelmesen tudja kezelni a grillen.
A termék fa nyele nem csak elegáns megjelenést biztosít, hanem a használata is kényelmes, így hosszabb grillezési munkálatok során is megállja a helyét. Az FSC® címkével ellátott fa nyél fenntartható erdőgazdálkodásból származik, így Ön nem csak a grillezés élvezetéhez, de a környezettudatos életmódhoz is hozzájárul. A praktikus akasztóhuroknak köszönhetően a halforgatót egyszerűen tárolhatja, így mindig kéznél lesz, amikor szükség van rá.
Tegye grillezési élményét problémamentessé a Barbecook rozsdamentes acél grill halforgatóval, mely ideális társ lesz a halak tökéletes elkészítéséhez!</t>
        </is>
      </c>
    </row>
    <row r="151">
      <c r="A151" s="3" t="inlineStr">
        <is>
          <t>BC-ACC-7094</t>
        </is>
      </c>
      <c r="B151" s="2" t="inlineStr">
        <is>
          <t>Barbecook BC-ACC-7094 rozsdamentes acél grill készlet, 100% FSC, fa nyél</t>
        </is>
      </c>
      <c r="C151" s="1" t="n">
        <v>8790.0</v>
      </c>
      <c r="D151" s="7" t="n">
        <f>HYPERLINK("https://www.somogyi.hu/product/barbecook-bc-acc-7094-rozsdamentes-acel-grill-keszlet-100-fsc-fa-nyel-bc-acc-7094-18719","https://www.somogyi.hu/product/barbecook-bc-acc-7094-rozsdamentes-acel-grill-keszlet-100-fsc-fa-nyel-bc-acc-7094-18719")</f>
        <v>0.0</v>
      </c>
      <c r="E151" s="7" t="n">
        <f>HYPERLINK("https://www.somogyi.hu/data/img/product_main_images/small/18719.jpg","https://www.somogyi.hu/data/img/product_main_images/small/18719.jpg")</f>
        <v>0.0</v>
      </c>
      <c r="F151" s="2" t="inlineStr">
        <is>
          <t>5400269240646</t>
        </is>
      </c>
      <c r="G151" s="4" t="inlineStr">
        <is>
          <t>A tökéletes eszközöket keresi a grillezéshez? A Barbecook BC-ACC-7094 rozsdamentes acél grill készlet minden, ami egy jól sikerült grillezéshez kell. 
A csomag tartalmaz egy spatulát, egy villát és egy fogót, melyekkel minden feladat könnyedén megoldható. Az FSC® minősítéssel rendelkező fa nyelű eszközök nem csak praktikusak, de kiváló minőségűek is.
Az eszközök kényelmes tárolását akasztóhurokok segítik, így könnyedén elhelyezheti őket a grill mellett vagy tárolhatja őket, amikor nem használja őket. A rozsdamentes acél anyag biztosítja a tartósságot és az egyszerű tisztíthatóságot, míg a 470mm hosszúságú eszközök ideális méretet kínálnak minden felhasználáshoz.
Tegye grillezési élményét egyszerűbbé és élvezetesebbé a Barbecook rozsdamentes acél grill készlettel!</t>
        </is>
      </c>
    </row>
    <row r="152">
      <c r="A152" s="3" t="inlineStr">
        <is>
          <t>BC-ACC-7062</t>
        </is>
      </c>
      <c r="B152" s="2" t="inlineStr">
        <is>
          <t>Barbecook BC-ACC-7062 rozsdamentes acél hamburger forgató, 30cm, 100% FSC</t>
        </is>
      </c>
      <c r="C152" s="1" t="n">
        <v>3290.0</v>
      </c>
      <c r="D152" s="7" t="n">
        <f>HYPERLINK("https://www.somogyi.hu/product/barbecook-bc-acc-7062-rozsdamentes-acel-hamburger-forgato-30cm-100-fsc-bc-acc-7062-18731","https://www.somogyi.hu/product/barbecook-bc-acc-7062-rozsdamentes-acel-hamburger-forgato-30cm-100-fsc-bc-acc-7062-18731")</f>
        <v>0.0</v>
      </c>
      <c r="E152" s="7" t="n">
        <f>HYPERLINK("https://www.somogyi.hu/data/img/product_main_images/small/18731.jpg","https://www.somogyi.hu/data/img/product_main_images/small/18731.jpg")</f>
        <v>0.0</v>
      </c>
      <c r="F152" s="2" t="inlineStr">
        <is>
          <t>5400269240691</t>
        </is>
      </c>
      <c r="G152" s="4" t="inlineStr">
        <is>
          <t>A tökéletes eszközt keresi, hogy hamburgereit profi módon fordíthassa meg a grillen? A Barbecook BC-ACC-7062 rozsdamentes acél hamburger forgatóval mindez gyerekjáték lesz! 
Ez az eszköz nemcsak a hamburger pogácsák, de a húsok és zöldségek fordítására is tökéletesen alkalmas, így minden grillezési igényét kielégíti.
Rozsdamentes acélból készült, így nemcsak tartós és megbízható, hanem könnyen tisztítható is, így a grillezés utáni takarítás sem jelent majd problémát. Az FSC® címkével ellátott termékkel Ön nemcsak a környezetet kíméli, de garantáltan minőségi eszközt is választ.
A 30x12xcm-es hamburger forgató ideális méretű, így könnyedén kezelheti vele akár a legnagyobb hamburger pogácsákat is. Az ergonomikus tervezésű fogantyú biztosítja, hogy minden fordítás precíz és kényelmes legyen.
Tegye grillezési élményét teljessé a Barbecook BC-ACC-7062 rozsdamentes acél hamburger forgatóval.</t>
        </is>
      </c>
    </row>
    <row r="153">
      <c r="A153" s="3" t="inlineStr">
        <is>
          <t>BC-ACC-7100</t>
        </is>
      </c>
      <c r="B153" s="2" t="inlineStr">
        <is>
          <t>Barbecook BC-ACC-7100 grillkötény és kesztyű szett</t>
        </is>
      </c>
      <c r="C153" s="1" t="n">
        <v>17890.0</v>
      </c>
      <c r="D153" s="7" t="n">
        <f>HYPERLINK("https://www.somogyi.hu/product/barbecook-bc-acc-7100-grillkoteny-es-kesztyu-szett-bc-acc-7100-18825","https://www.somogyi.hu/product/barbecook-bc-acc-7100-grillkoteny-es-kesztyu-szett-bc-acc-7100-18825")</f>
        <v>0.0</v>
      </c>
      <c r="E153" s="7" t="n">
        <f>HYPERLINK("https://www.somogyi.hu/data/img/product_main_images/small/18825.jpg","https://www.somogyi.hu/data/img/product_main_images/small/18825.jpg")</f>
        <v>0.0</v>
      </c>
      <c r="F153" s="2" t="inlineStr">
        <is>
          <t>5400269239442</t>
        </is>
      </c>
      <c r="G153" s="4" t="inlineStr">
        <is>
          <t>Szeretné védeni magát a grillezés során keletkező hőtől, miközben stílusos a megjelenése is? A Barbecook BC-ACC-7100 grillkötény és kesztyű szett az Ön tökéletes társa lesz minden grillezési alkalommal. Ez a készlet nem csak praktikus, de stílusos kiegészítője is lesz grillezési élményének.
A szett tartalmaz egy 100% pamutból készült grillkötényt, ami nemcsak megóvja ruháját a grillezés során keletkező szennyeződésektől, de kényelmes viseletet is biztosít, így teljes mértékben az ételkészítésre koncentrálhat. A hozzá tartozó kesztyűk belső oldalán található biztonságos alumínium szigetelésnek köszönhetően kezei mindig védve lesznek a grill hőjétől, így bátran hozzányúlhat a forró tárgyakhoz anélkül, hogy megégetné magát.
A Barbecook BC-ACC-7100 grillkötény és kesztyű szett nem csak a biztonságos grillezéshez szükséges védelmet nyújtja, de a pamut anyagnak köszönhetően kényelmes viseletet is garantál, legyen szó akár hosszabb grillezési munkálatokról. A kesztyűk designja olyan univerzális, hogy bárki kényelmesen hordhatja őket, és a hőtől való védelem mellett a kesztyűk biztosítják, hogy a grillfogó eszközöket is biztonságosan és stabilan tudja használni.
Ne hagyja, hogy a grillezés öröme beárnyékolódjon! A Barbecook BC-ACC-7100 grillkötény és kesztyű szettjével biztonságban és stílusosan süthet vendégeinek.</t>
        </is>
      </c>
    </row>
    <row r="154">
      <c r="A154" s="3" t="inlineStr">
        <is>
          <t>BC-ACC-7080</t>
        </is>
      </c>
      <c r="B154" s="2" t="inlineStr">
        <is>
          <t>Barbecook BC-ACC-7080 zománcozott grilltálca, 34,5x24cm</t>
        </is>
      </c>
      <c r="C154" s="1" t="n">
        <v>5790.0</v>
      </c>
      <c r="D154" s="7" t="n">
        <f>HYPERLINK("https://www.somogyi.hu/product/barbecook-bc-acc-7080-zomancozott-grilltalca-34-5x24cm-bc-acc-7080-18823","https://www.somogyi.hu/product/barbecook-bc-acc-7080-zomancozott-grilltalca-34-5x24cm-bc-acc-7080-18823")</f>
        <v>0.0</v>
      </c>
      <c r="E154" s="7" t="n">
        <f>HYPERLINK("https://www.somogyi.hu/data/img/product_main_images/small/18823.jpg","https://www.somogyi.hu/data/img/product_main_images/small/18823.jpg")</f>
        <v>0.0</v>
      </c>
      <c r="F154" s="2" t="inlineStr">
        <is>
          <t>5400269220921</t>
        </is>
      </c>
      <c r="G154" s="4" t="inlineStr">
        <is>
          <t>Szeretné a grillezési élményt tisztán és egyszerűen fenntartani? A Barbecook BC-ACC-7080 zománcozott grilltálca az ideális megoldás minden grillező számára, aki értékeli a kényelmet és a tisztaságot.
Ez a praktikus, 34,5x24cm méretű grilltálca kiváló minőségű, zománcozott anyagból készült, így ellenáll a magas hőmérsékletnek és megakadályozza, hogy az ételmaradékok közvetlenül a grillre kerüljenek. Faszenes és gázgrillekkel egyaránt használható, így bármilyen típusú grillezéshez tökéletes választás.
A tálca mosogatógépben is mosható, így a grillezés utáni takarítás nem jelent többé problémát. A zománcozott felület hosszú élettartamot és egyszerű tisztítást biztosít, így több idő marad az ízletes ételek élvezetére és a szabadidőre.
Válassza a Barbecook BC-ACC-7080 zománcozott grilltálcát, és élvezze a problémamentes, tiszta grillezést minden alkalommal!</t>
        </is>
      </c>
    </row>
    <row r="155">
      <c r="A155" s="3" t="inlineStr">
        <is>
          <t>BC-ACC-7211</t>
        </is>
      </c>
      <c r="B155" s="2" t="inlineStr">
        <is>
          <t>Barbecook BC-ACC-7211 rozsdamentes acél edény szilikon ecsettel</t>
        </is>
      </c>
      <c r="C155" s="1" t="n">
        <v>6990.0</v>
      </c>
      <c r="D155" s="7" t="n">
        <f>HYPERLINK("https://www.somogyi.hu/product/barbecook-bc-acc-7211-rozsdamentes-acel-edeny-szilikon-ecsettel-bc-acc-7211-18767","https://www.somogyi.hu/product/barbecook-bc-acc-7211-rozsdamentes-acel-edeny-szilikon-ecsettel-bc-acc-7211-18767")</f>
        <v>0.0</v>
      </c>
      <c r="E155" s="7" t="n">
        <f>HYPERLINK("https://www.somogyi.hu/data/img/product_main_images/small/18767.jpg","https://www.somogyi.hu/data/img/product_main_images/small/18767.jpg")</f>
        <v>0.0</v>
      </c>
      <c r="F155" s="2" t="inlineStr">
        <is>
          <t>5420059844786</t>
        </is>
      </c>
      <c r="G155" s="4" t="inlineStr">
        <is>
          <t>Szeretné professzionálisan tökéletes elkészíteni a pácot grillezéshez? A Barbecook BC-ACC-7211 rozsdamentes acél edény szilikon ecsettel pontosan erre lett tervezve. 
A készlet egy praktikus edényből és egy szilikon ecsetből áll, amelyekkel könnyedén összekeverheti és alkalmazhatja pácjait, marinádjait.
Az edény rozsdamentes acélból készült, így garantálja a hosszú távú tartósságot és könnyű tisztítást, míg a szilikon ecset tökéletesen illeszkedik a kezébe, lehetővé téve a precíz és egyenletes pácbevonást. A szilikon anyag gondoskodik arról, hogy az ecset ne károsodjon használat közben, és könnyen tisztítható legyen.
Válassza a Barbecook BC-ACC-7211 rozsdamentes acél edényt szilikon ecsettel, és emelje grillezési élményét a következő szintre.</t>
        </is>
      </c>
    </row>
    <row r="156">
      <c r="A156" s="3" t="inlineStr">
        <is>
          <t>BC-ACC-7052</t>
        </is>
      </c>
      <c r="B156" s="2" t="inlineStr">
        <is>
          <t>Barbecook BC-ACC-7052 prémium grillkesztyű, 33cm, fekete</t>
        </is>
      </c>
      <c r="C156" s="1" t="n">
        <v>14790.0</v>
      </c>
      <c r="D156" s="7" t="n">
        <f>HYPERLINK("https://www.somogyi.hu/product/barbecook-bc-acc-7052-premium-grillkesztyu-33cm-fekete-bc-acc-7052-18740","https://www.somogyi.hu/product/barbecook-bc-acc-7052-premium-grillkesztyu-33cm-fekete-bc-acc-7052-18740")</f>
        <v>0.0</v>
      </c>
      <c r="E156" s="7" t="n">
        <f>HYPERLINK("https://www.somogyi.hu/data/img/product_main_images/small/18740.jpg","https://www.somogyi.hu/data/img/product_main_images/small/18740.jpg")</f>
        <v>0.0</v>
      </c>
      <c r="F156" s="2" t="inlineStr">
        <is>
          <t>5400269210595</t>
        </is>
      </c>
      <c r="G156" s="4" t="inlineStr">
        <is>
          <t>Szeretne biztonságosan grillezni anélkül, hogy aggódnia kellene az égési sérülések miatt? A Barbecook BC-ACC-7052 prémium kesztyű tökéletes társa lesz a grillezés során, megvédi a kezét a magas hőmérséklettől, miközben kiváló tapadást biztosít.
Ez a különleges kesztyű tűzálló szilikon csíkokkal van ellátva, amelyek növelik a fogás biztonságát és stabilitását, legyen szó akár forró edények, grillrácson vagy sütőformákon való fogásról. Kiváló hőállóságának köszönhetően, amely eléri a 350°C-ot, a kesztyű ideális választás a grillezéshez, beleértve a meleg szén vagy grillrácson való munkát is.
A kesztyű méretei – 15x1x33cm– tökéletes illeszkedést biztosítanak, maximális kényelmet és védelmet nyújtanak használat közben.
Bízza keze védelmét a Barbecook BC-ACC-7052 prémium kesztyűre, és koncentráljon teljes mértékben a grillezés örömére.</t>
        </is>
      </c>
    </row>
    <row r="157">
      <c r="A157" s="3" t="inlineStr">
        <is>
          <t>BC-ACC-7050</t>
        </is>
      </c>
      <c r="B157" s="2" t="inlineStr">
        <is>
          <t>Barbecook BC-ACC-7050 műanyag védőszőnyeg, 120x80cm, fekete</t>
        </is>
      </c>
      <c r="C157" s="1" t="n">
        <v>14790.0</v>
      </c>
      <c r="D157" s="7" t="n">
        <f>HYPERLINK("https://www.somogyi.hu/product/barbecook-bc-acc-7050-muanyag-vedoszonyeg-120x80cm-fekete-bc-acc-7050-18780","https://www.somogyi.hu/product/barbecook-bc-acc-7050-muanyag-vedoszonyeg-120x80cm-fekete-bc-acc-7050-18780")</f>
        <v>0.0</v>
      </c>
      <c r="E157" s="7" t="n">
        <f>HYPERLINK("https://www.somogyi.hu/data/img/product_main_images/small/18780.jpg","https://www.somogyi.hu/data/img/product_main_images/small/18780.jpg")</f>
        <v>0.0</v>
      </c>
      <c r="F157" s="2" t="inlineStr">
        <is>
          <t>5400269210588</t>
        </is>
      </c>
      <c r="G157" s="4" t="inlineStr">
        <is>
          <t>Aggódik, hogy a grillezés során a terasz vagy a konyha padlója zsírfoltos és szennyezett lesz? A Barbecook BC-ACC-7050 műanyag védőszőnyeg a tökéletes megoldás, amely megvédi a felületet mindenféle szennyeződéstől és zsírtól, így Ön nyugodtan élvezheti a grillezés minden pillanatát, anélkül, hogy a takarítás miatt kellene aggódnia.
Ez a praktikus és csúszásmentes védőszőnyeg nemcsak hatékony védelmet nyújt, hanem fekete színének köszönhetően elegáns és diszkrét is. Könnyedén tisztítható, így a használat utáni takarítás sem jelent majd problémát. Fontos megjegyezni, hogy a szőnyeg nem hőálló, tehát közvetlen hőforrásoktól távol kell tartani.
A szőnyeg méretei - 120x0,2x80cm- elegendően nagyok ahhoz, hogy megfelelő védelmet biztosítsanak a legtöbb grill és kültéri sütőfelület alatt.
Tegye a grillezést gondtalan élménnyé a Barbecook BC-ACC-7050 műanyag védőszőnyeggel, amely megóvja padlója tisztaságát.</t>
        </is>
      </c>
    </row>
    <row r="158">
      <c r="A158" s="3" t="inlineStr">
        <is>
          <t>BC-ACC-7099</t>
        </is>
      </c>
      <c r="B158" s="2" t="inlineStr">
        <is>
          <t>Barbecook BC-ACC-7099 hosszú pamut és alumínium grillkesztyű, fekete, 40cm</t>
        </is>
      </c>
      <c r="C158" s="1" t="n">
        <v>5790.0</v>
      </c>
      <c r="D158" s="7" t="n">
        <f>HYPERLINK("https://www.somogyi.hu/product/barbecook-bc-acc-7099-hosszu-pamut-es-aluminium-grillkesztyu-fekete-40cm-bc-acc-7099-18770","https://www.somogyi.hu/product/barbecook-bc-acc-7099-hosszu-pamut-es-aluminium-grillkesztyu-fekete-40cm-bc-acc-7099-18770")</f>
        <v>0.0</v>
      </c>
      <c r="E158" s="7" t="n">
        <f>HYPERLINK("https://www.somogyi.hu/data/img/product_main_images/small/18770.jpg","https://www.somogyi.hu/data/img/product_main_images/small/18770.jpg")</f>
        <v>0.0</v>
      </c>
      <c r="F158" s="2" t="inlineStr">
        <is>
          <t>5400269238834</t>
        </is>
      </c>
      <c r="G158" s="4" t="inlineStr">
        <is>
          <t>Szeretné megóvni kezeit grillezés közben? A Barbecook BC-ACC-7099 hosszú pamut grillkesztyű az ideális megoldás az Ön számára. 
Ez a kiváló minőségű, 100% pamutból készült kesztyű extra hosszúságával, 40cm-es méretével kínál kényelmet és védelmet a grill melegétől.
Az ezüst színű, alumínium szigetelőréteg garantálja a hő elleni védelem magas szintjét, így Ön biztonságosan és kényelmesen kezelheti a forró eszközöket. A fekete szín eleganciát és stílust kölcsönöz, miközben praktikus funkciót tölt be.
Tegyen szert a Barbecook hosszú pamut grillkesztyűre, és élvezze a grillezés minden pillanatát gond nélkül!</t>
        </is>
      </c>
    </row>
    <row r="159">
      <c r="A159" s="3" t="inlineStr">
        <is>
          <t>BC-ACC-7028</t>
        </is>
      </c>
      <c r="B159" s="2" t="inlineStr">
        <is>
          <t>Barbecook BC-ACC-7028 army stílusú fogó, 38cm-es, khaki zöld nyél</t>
        </is>
      </c>
      <c r="C159" s="1" t="n">
        <v>7590.0</v>
      </c>
      <c r="D159" s="7" t="n">
        <f>HYPERLINK("https://www.somogyi.hu/product/barbecook-bc-acc-7028-army-stilusu-fogo-38cm-es-khaki-zold-nyel-bc-acc-7028-18762","https://www.somogyi.hu/product/barbecook-bc-acc-7028-army-stilusu-fogo-38cm-es-khaki-zold-nyel-bc-acc-7028-18762")</f>
        <v>0.0</v>
      </c>
      <c r="E159" s="7" t="n">
        <f>HYPERLINK("https://www.somogyi.hu/data/img/product_main_images/small/18762.jpg","https://www.somogyi.hu/data/img/product_main_images/small/18762.jpg")</f>
        <v>0.0</v>
      </c>
      <c r="F159" s="2" t="inlineStr">
        <is>
          <t>5400269202941</t>
        </is>
      </c>
      <c r="G159" s="4" t="inlineStr">
        <is>
          <t>Szeretné a grillezés minden aspektusát magabiztosan kezelni, még a legforróbb pillanatokban is? A Barbecook BC-ACC-7028 army stílusú grillfogó az Ön legjobb társa lesz a grill mellett, amely nem csak praktikus, de stílusos is. 
Alkalmas hús, hal és zöldség könnyed forgatására, így garantálja, hogy az étel minden része tökéletesre süljön. A khaki zöld fogantyú nem csak egyedi megjelenést kölcsönöz a grillfogónak, hanem biztos fogást is garantál, ami nélkülözhetetlen a forró grillrácson való munkavégzés során. A könnyen tisztítható kialakítás biztosítja, hogy a grillfogó hosszú távon higiénikus és karbantartott maradhasson.
A termék méretei – 5x4x38cm – tökéletesek ahhoz, hogy bármilyen ételt biztonságosan és hatékonyan meg tudjon fogni és meg tudjon fordítani.
Vegye kezébe az irányítást, és fordítsa meg az ízek világát a Barbecook BC-ACC-7028 army stílusú grillfogóval.</t>
        </is>
      </c>
    </row>
    <row r="160">
      <c r="A160" s="3" t="inlineStr">
        <is>
          <t>BC-ACC-7026</t>
        </is>
      </c>
      <c r="B160" s="2" t="inlineStr">
        <is>
          <t>Barbecook BC-ACC-7026 army stílusú forgató lapát, 38cm-es, khaki zöld nyél</t>
        </is>
      </c>
      <c r="C160" s="1" t="n">
        <v>5590.0</v>
      </c>
      <c r="D160" s="7" t="n">
        <f>HYPERLINK("https://www.somogyi.hu/product/barbecook-bc-acc-7026-army-stilusu-forgato-lapat-38cm-es-khaki-zold-nyel-bc-acc-7026-18761","https://www.somogyi.hu/product/barbecook-bc-acc-7026-army-stilusu-forgato-lapat-38cm-es-khaki-zold-nyel-bc-acc-7026-18761")</f>
        <v>0.0</v>
      </c>
      <c r="E160" s="7" t="n">
        <f>HYPERLINK("https://www.somogyi.hu/data/img/product_main_images/small/18761.jpg","https://www.somogyi.hu/data/img/product_main_images/small/18761.jpg")</f>
        <v>0.0</v>
      </c>
      <c r="F160" s="2" t="inlineStr">
        <is>
          <t>5400269202958</t>
        </is>
      </c>
      <c r="G160" s="4" t="inlineStr">
        <is>
          <t>Szeretne egy egyedi és praktikus eszközt, ami megkönnyíti a grillezést? A Barbecook BC-ACC-7026 army stílusú forgató lapát tökéletes választás azok számára, akik nem csak funkcionalitásra, hanem stílusra is nagy hangsúlyt fektetnek. 
Ez a forgató lapát kiválóan alkalmas hús, hal és zöldség forgatására, így minden grillezési feladatra felkészülhet. A khaki zöld nyél azonnal szemet vonz és egy katonai ihletet visz a grillezési kiegészítők közé, emelve ezzel a szabadtéri főzési élményt. A könnyen tisztítható anyagnak köszönhetően a forgató lapát hosszú ideig megőrzi eredeti állapotát és higiénikus marad. A termék méretei – 8,5x1,5x38cm – ideálisak a kényelmes és hatékony használathoz.
Tegye a grillezés minden pillanatát különlegessé a Barbecook BC-ACC-7026 army stílusú forgató lapáttal.</t>
        </is>
      </c>
    </row>
    <row r="161">
      <c r="A161" s="3" t="inlineStr">
        <is>
          <t>BC-ACC-7025</t>
        </is>
      </c>
      <c r="B161" s="2" t="inlineStr">
        <is>
          <t>Barbecook BC-ACC-7025 army stílusú grill villa, 38cm-es, khaki zöld nyél</t>
        </is>
      </c>
      <c r="C161" s="1" t="n">
        <v>5590.0</v>
      </c>
      <c r="D161" s="7" t="n">
        <f>HYPERLINK("https://www.somogyi.hu/product/barbecook-bc-acc-7025-army-stilusu-grill-villa-38cm-es-khaki-zold-nyel-bc-acc-7025-18760","https://www.somogyi.hu/product/barbecook-bc-acc-7025-army-stilusu-grill-villa-38cm-es-khaki-zold-nyel-bc-acc-7025-18760")</f>
        <v>0.0</v>
      </c>
      <c r="E161" s="7" t="n">
        <f>HYPERLINK("https://www.somogyi.hu/data/img/product_main_images/small/18760.jpg","https://www.somogyi.hu/data/img/product_main_images/small/18760.jpg")</f>
        <v>0.0</v>
      </c>
      <c r="F161" s="2" t="inlineStr">
        <is>
          <t>5400269202934</t>
        </is>
      </c>
      <c r="G161" s="4" t="inlineStr">
        <is>
          <t>Keres egy villát a grillezéshez, amely nem csak praktikus, de stílusos is? A Barbecook BC-ACC-7025 army stílusú grill villa tökéletes választás azok számára, akik szeretnének egy különleges eszközt hozzáadni a grillkészletükhöz. 
Ez a villa nem csak hús, hanem hal és zöldség forgatására is alkalmas, így minden grillezési igényt kielégít. A khaki zöld nyél katonai stílusban készült, ami egyedi megjelenést kölcsönöz az eszköznek, miközben a könnyen tisztítható anyag gondoskodik arról, hogy a villa hosszú távon megőrizze tisztaságát és minőségét. A termék méretei - 3,5x38cm - ideálisak ahhoz, hogy kényelmesen használhassa grillezés közben, anélkül, hogy túl nagy vagy nehézkes lenne.
Válassza a Barbecook BC-ACC-7025 army stílusú villát, és dobja fel a grillezést egy katonai ihletésű, minden feladatra alkalmas eszközzel.</t>
        </is>
      </c>
    </row>
    <row r="162">
      <c r="A162" s="3" t="inlineStr">
        <is>
          <t>BC-ACC-7123</t>
        </is>
      </c>
      <c r="B162" s="2" t="inlineStr">
        <is>
          <t>Barbecook BC-ACC-7123 2db-os rozsdamentes acél rostlap forgató, fa nyél, 100% FSC, 31cm</t>
        </is>
      </c>
      <c r="C162" s="1" t="n">
        <v>6090.0</v>
      </c>
      <c r="D162" s="7" t="n">
        <f>HYPERLINK("https://www.somogyi.hu/product/barbecook-bc-acc-7123-2db-os-rozsdamentes-acel-rostlap-forgato-fa-nyel-100-fsc-31cm-bc-acc-7123-18759","https://www.somogyi.hu/product/barbecook-bc-acc-7123-2db-os-rozsdamentes-acel-rostlap-forgato-fa-nyel-100-fsc-31cm-bc-acc-7123-18759")</f>
        <v>0.0</v>
      </c>
      <c r="E162" s="7" t="n">
        <f>HYPERLINK("https://www.somogyi.hu/data/img/product_main_images/small/18759.jpg","https://www.somogyi.hu/data/img/product_main_images/small/18759.jpg")</f>
        <v>0.0</v>
      </c>
      <c r="F162" s="2" t="inlineStr">
        <is>
          <t>5400269203016</t>
        </is>
      </c>
      <c r="G162" s="4" t="inlineStr">
        <is>
          <t>Szeretné a grillezés minden pillanatát könnyedén és hatékonyan élvezni? A Barbecook BC-ACC-7123 2db-os rozsdamentes acél rostlap forgató készlet lehet a tökéletes segítség az Ön számára. 
Ez a két darabos spatula készlet kiválóan alkalmas különféle ételek forgatására, legyen szó húsról, zöldségekről vagy akár a grillen sült finomságokról.
Az FSC® címkével ellátott termék fa nyéllel büszkélkedik, amely nem csak stílusos megjelenést kölcsönöz, de a fogása is kényelmes és biztos. A kényelmes tárolást akasztóhurok segíti, így a spatulák mindig kéznél lesznek, amikor szükség van rájuk. A csomagban található két spatula méretei - 31x12cm- ideálisak a különböző méretű és vastagságú ételek kezeléséhez.
Fedezze fel a Barbecook rozsdamentes acél rostlap forgatók előnyeit, és tegye grillezési élményét egyszerűbbé és élvezetesebbé!</t>
        </is>
      </c>
    </row>
    <row r="163">
      <c r="A163" s="3" t="inlineStr">
        <is>
          <t>BC-ACC-7072</t>
        </is>
      </c>
      <c r="B163" s="2" t="inlineStr">
        <is>
          <t>Barbecook BC-ACC-7072 rozsdamentes acél grill villa, gumifa nyél, 100% FSC, 46cm</t>
        </is>
      </c>
      <c r="C163" s="1" t="n">
        <v>3190.0</v>
      </c>
      <c r="D163" s="7" t="n">
        <f>HYPERLINK("https://www.somogyi.hu/product/barbecook-bc-acc-7072-rozsdamentes-acel-grill-villa-gumifa-nyel-100-fsc-46cm-bc-acc-7072-18758","https://www.somogyi.hu/product/barbecook-bc-acc-7072-rozsdamentes-acel-grill-villa-gumifa-nyel-100-fsc-46cm-bc-acc-7072-18758")</f>
        <v>0.0</v>
      </c>
      <c r="E163" s="7" t="n">
        <f>HYPERLINK("https://www.somogyi.hu/data/img/product_main_images/small/18758.jpg","https://www.somogyi.hu/data/img/product_main_images/small/18758.jpg")</f>
        <v>0.0</v>
      </c>
      <c r="F163" s="2" t="inlineStr">
        <is>
          <t>5400269240615</t>
        </is>
      </c>
      <c r="G163" s="4" t="inlineStr">
        <is>
          <t>Kíváncsi rá, hogyan teheti még egyszerűbbé és élvezetesebbé a grillezést? A Barbecook BC-ACC-7072 rozsdamentes acél grill villa a tökéletes választás minden grillmester számára, akik a precíz és kényelmes kiegészítőket részesítik előnyben.
Ez a prémium minőségű grill villa rozsdamentes acélból készült, ami garantálja a tartósságot és a hosszú élettartamot, miközben a FSC® címkével ellátott gumifa nyél a környezettudatos választást és a kényelmes fogást biztosítja. A praktikus akasztóval ellátott design gondoskodik arról, hogy a villa mindig könnyen elérhető legyen, amikor csak szükség van rá.
Legyen szó akár húsok, zöldségek vagy halak forgatásáról, a Barbecook BC-ACC-7072 grill villa segítségével minden hozzávalót tökéletes kontroll alatt tarthat. A kényelmes fogásnak köszönhetően a hosszabb grillezési idő is zökkenőmentesen telik majd, míg a kiváló anyaghasználat biztosítja, hogy eszköze éveken át a segítségére legyen.
Fedezze fel a kényelmes és stílusos grillezés új dimenzióit a Barbecook BC-ACC-7072 rozsdamentes acél grill villával.</t>
        </is>
      </c>
    </row>
    <row r="164">
      <c r="A164" s="3" t="inlineStr">
        <is>
          <t>BC-ACC-7071</t>
        </is>
      </c>
      <c r="B164" s="2" t="inlineStr">
        <is>
          <t>Barbecook BC-ACC-7071 rozsdamentes acél forgató lapát, gumifa nyél, 100% FSC, 46cm</t>
        </is>
      </c>
      <c r="C164" s="1" t="n">
        <v>3190.0</v>
      </c>
      <c r="D164" s="7" t="n">
        <f>HYPERLINK("https://www.somogyi.hu/product/barbecook-bc-acc-7071-rozsdamentes-acel-forgato-lapat-gumifa-nyel-100-fsc-46cm-bc-acc-7071-18757","https://www.somogyi.hu/product/barbecook-bc-acc-7071-rozsdamentes-acel-forgato-lapat-gumifa-nyel-100-fsc-46cm-bc-acc-7071-18757")</f>
        <v>0.0</v>
      </c>
      <c r="E164" s="7" t="n">
        <f>HYPERLINK("https://www.somogyi.hu/data/img/product_main_images/small/18757.jpg","https://www.somogyi.hu/data/img/product_main_images/small/18757.jpg")</f>
        <v>0.0</v>
      </c>
      <c r="F164" s="2" t="inlineStr">
        <is>
          <t>5400269240608</t>
        </is>
      </c>
      <c r="G164" s="4" t="inlineStr">
        <is>
          <t>Vajon mi az a grill kiegészítő, ami nélkülözhetetlen a tökéletes sült ételek elkészítéséhez? A Barbecook BC-ACC-7071 rozsdamentes acél forgató lapát a válasz, amely minden grillezési feladat során nélkülözhetetlen segítséget nyújt az ételek precíz és biztonságos forgatásához.
Ez a kiváló minőségű forgató lapát rozsdamentes acélból készült, így garantáltan hosszú távú használatot biztosít, míg a FSC® címkével ellátott gumifa nyél nemcsak a fenntarthatóságot képviseli, de kényelmes fogást is garantál a grillezés során. A kényelmes tárolást pedig az akasztó segíti, így a lapát mindig kéznél lehet, amikor szükség van rá.
Legyen szó húsok, zöldségek vagy akár tenger gyümölcseinek fordításáról, a Barbecook BC-ACC-7071 forgató lapátjával minden grillezési feladat egyszerűvé és élvezetessé válik. A precíz kialakításnak köszönhetően minden alapanyag egyenletesen és tökéletesen süthető meg, így garantálva az ízletes és látványos ételkülönlegességeket.
Hossza 46cm, így óvja kezeit a forró grillsütőtől is.
Tegye a grillezési élményt teljessé a Barbecook BC-ACC-7071 rozsdamentes acél forgató lapáttal.</t>
        </is>
      </c>
    </row>
    <row r="165">
      <c r="A165" s="3" t="inlineStr">
        <is>
          <t>BC-ACC-7070</t>
        </is>
      </c>
      <c r="B165" s="2" t="inlineStr">
        <is>
          <t>Barbecook BC-ACC-7070 luxus rozsdamentes acél fogó, gumifa nyél, 100% FSC, 40cm</t>
        </is>
      </c>
      <c r="C165" s="1" t="n">
        <v>3590.0</v>
      </c>
      <c r="D165" s="7" t="n">
        <f>HYPERLINK("https://www.somogyi.hu/product/barbecook-bc-acc-7070-luxus-rozsdamentes-acel-fogo-gumifa-nyel-100-fsc-40cm-bc-acc-7070-18756","https://www.somogyi.hu/product/barbecook-bc-acc-7070-luxus-rozsdamentes-acel-fogo-gumifa-nyel-100-fsc-40cm-bc-acc-7070-18756")</f>
        <v>0.0</v>
      </c>
      <c r="E165" s="7" t="n">
        <f>HYPERLINK("https://www.somogyi.hu/data/img/product_main_images/small/18756.jpg","https://www.somogyi.hu/data/img/product_main_images/small/18756.jpg")</f>
        <v>0.0</v>
      </c>
      <c r="F165" s="2" t="inlineStr">
        <is>
          <t>5400269240592</t>
        </is>
      </c>
      <c r="G165" s="4" t="inlineStr">
        <is>
          <t>Szeretné a grillezés minden pillanatát a luxus érzetével megfűszerezni? A Barbecook BC-ACC-7070 luxus rozsdamentes acél fogóval mindez könnyedén elérhetővé válik. Tökéletes választás azok számára, akik nemcsak funkcionalitásra, hanem eleganciára és kényelemre is vágynak grillezés közben.
Ez a magas minőségű fogó, mely rozsdamentes acélból készült, garantálja a tartósságot és az egyszerű tisztíthatóságot, míg az FSC® címkével ellátott gumifa nyél fenntarthatóságot és megragadhatatlan kényelmet kínál használat közben. Az ergonómikus tervezés biztosítja, hogy az ételek forgatása és megfogása könnyű és precíz legyen, növelve ezzel a grillezési élményt.
A Barbecook BC-ACC-7070 luxus rozsdamentes acél fogó nemcsak praktikus, de stílusos kiegészítője is lehet grill készletének, megkönnyítve a grillezés minden lépését. A gumifa nyél nemcsak hogy kényelmes fogást biztosít, de hozzáad a fogó esztétikai megjelenéséhez is, így elegáns megjelenést kölcsönöz grilleszközei között.
Adjon hozzá egy csipetnyi luxust grillezési szokásához a Barbecook BC-ACC-7070 luxus rozsdamentes acél fogóval.</t>
        </is>
      </c>
    </row>
    <row r="166">
      <c r="A166" s="3" t="inlineStr">
        <is>
          <t>BC-ACC-7069</t>
        </is>
      </c>
      <c r="B166" s="2" t="inlineStr">
        <is>
          <t>Barbecook BC-ACC-7069 rozsdamentes acél fogó, gumifa nyél, 100% FSC, 40cm</t>
        </is>
      </c>
      <c r="C166" s="1" t="n">
        <v>3190.0</v>
      </c>
      <c r="D166" s="7" t="n">
        <f>HYPERLINK("https://www.somogyi.hu/product/barbecook-bc-acc-7069-rozsdamentes-acel-fogo-gumifa-nyel-100-fsc-40cm-bc-acc-7069-18755","https://www.somogyi.hu/product/barbecook-bc-acc-7069-rozsdamentes-acel-fogo-gumifa-nyel-100-fsc-40cm-bc-acc-7069-18755")</f>
        <v>0.0</v>
      </c>
      <c r="E166" s="7" t="n">
        <f>HYPERLINK("https://www.somogyi.hu/data/img/product_main_images/small/18755.jpg","https://www.somogyi.hu/data/img/product_main_images/small/18755.jpg")</f>
        <v>0.0</v>
      </c>
      <c r="F166" s="2" t="inlineStr">
        <is>
          <t>5400269240585</t>
        </is>
      </c>
      <c r="G166" s="4" t="inlineStr">
        <is>
          <t>Keresi az ideális eszközt, ami minden grillezési szituációban megállja a helyét? A Barbecook BC-ACC-7069 rozsdamentes acél fogóval minden eddiginél könnyebbé válhat az ételek forgatása és megfogása a grillen. 
Ez az eszköz azok számára készült, akik precizitást és megbízhatóságot várnak el a grillezés során. A kiváló minőségű rozsdamentes acélból készült fogó nemcsak tartós és ellenálló, hanem könnyen is tisztítható, így hosszú távon számíthat rá. Az FSC® címkével ellátott termék garantálja, hogy a nyélhez használt faanyag fenntartható forrásból származik, így Ön a környezettudatosság mellett dönthet minden egyes grillezés alkalmával.
A fogó méretei – 6x4,5x40cm – tökéletesek az ételek biztonságos és hatékony forgatásához és megfogásához, legyen szó húsról, zöldségekről vagy akár kisebb grill ételekről.
Fedezze fel a grillezés új dimenzióit a Barbecook BC-ACC-7069 rozsdamentes acél fogóval.</t>
        </is>
      </c>
    </row>
    <row r="167">
      <c r="A167" s="6" t="inlineStr">
        <is>
          <t xml:space="preserve">      Grillezés / Grill kiegészítő / Vágódeszkák és asztalok</t>
        </is>
      </c>
      <c r="B167" s="6" t="inlineStr">
        <is>
          <t/>
        </is>
      </c>
      <c r="C167" s="6" t="inlineStr">
        <is>
          <t/>
        </is>
      </c>
      <c r="D167" s="6" t="inlineStr">
        <is>
          <t/>
        </is>
      </c>
      <c r="E167" s="6" t="inlineStr">
        <is>
          <t/>
        </is>
      </c>
      <c r="F167" s="6" t="inlineStr">
        <is>
          <t/>
        </is>
      </c>
      <c r="G167" s="6" t="inlineStr">
        <is>
          <t/>
        </is>
      </c>
    </row>
    <row r="168">
      <c r="A168" s="3" t="inlineStr">
        <is>
          <t>BC-ACC-7154</t>
        </is>
      </c>
      <c r="B168" s="2" t="inlineStr">
        <is>
          <t>Barbecook BC-ACC-7154 grill vágóasztal, bambuszból készült, 70x43x81cm</t>
        </is>
      </c>
      <c r="C168" s="1" t="n">
        <v>35290.0</v>
      </c>
      <c r="D168" s="7" t="n">
        <f>HYPERLINK("https://www.somogyi.hu/product/barbecook-bc-acc-7154-grill-vagoasztal-bambuszbol-keszult-70x43x81cm-bc-acc-7154-18768","https://www.somogyi.hu/product/barbecook-bc-acc-7154-grill-vagoasztal-bambuszbol-keszult-70x43x81cm-bc-acc-7154-18768")</f>
        <v>0.0</v>
      </c>
      <c r="E168" s="7" t="n">
        <f>HYPERLINK("https://www.somogyi.hu/data/img/product_main_images/small/18768.jpg","https://www.somogyi.hu/data/img/product_main_images/small/18768.jpg")</f>
        <v>0.0</v>
      </c>
      <c r="F168" s="2" t="inlineStr">
        <is>
          <t>5400269207267</t>
        </is>
      </c>
      <c r="G168" s="4" t="inlineStr">
        <is>
          <t>Szeretne egy kényelmes munkaterületet a grill mellett? A Barbecook BC-ACC-7154 grill vágóasztal tökéletes választás az előkészületekhez és a grill mellé. 
Ez a praktikus bambuszból készült, összecsukható asztal ideális társ a sütés-főzés során, ahol könnyedén előkészítheti az alapanyagokat vagy elhelyezheti a grillezéshez szükséges kiegészítőket.
Az asztal egyszerűen tárolható, hiszen összecsukva alig foglal helyet, így nem lesz gondja vele, ha éppen nem használja. A tisztítása is gyerekjáték, így mindig higiénikus és tiszta munkafelületet biztosíthat. Méretei (70x43x81cm) elegendő helyet kínálnak a szükséges munkafolyamatokhoz, legyen szó akár húsról, zöldségekről vagy éppen a sütéshez szükséges eszközökről.
Élvezze a grillezés minden pillanatát a Barbecook BC-ACC-7154 grill vágóasztallal, amely garantáltan megkönnyíti a kerti sütögetések minden mozzanatát!</t>
        </is>
      </c>
    </row>
    <row r="169">
      <c r="A169" s="6" t="inlineStr">
        <is>
          <t xml:space="preserve">      Grillezés / Grill kiegészítő / Nyársak és nyárssütők</t>
        </is>
      </c>
      <c r="B169" s="6" t="inlineStr">
        <is>
          <t/>
        </is>
      </c>
      <c r="C169" s="6" t="inlineStr">
        <is>
          <t/>
        </is>
      </c>
      <c r="D169" s="6" t="inlineStr">
        <is>
          <t/>
        </is>
      </c>
      <c r="E169" s="6" t="inlineStr">
        <is>
          <t/>
        </is>
      </c>
      <c r="F169" s="6" t="inlineStr">
        <is>
          <t/>
        </is>
      </c>
      <c r="G169" s="6" t="inlineStr">
        <is>
          <t/>
        </is>
      </c>
    </row>
    <row r="170">
      <c r="A170" s="3" t="inlineStr">
        <is>
          <t>BC-ACC-7017</t>
        </is>
      </c>
      <c r="B170" s="2" t="inlineStr">
        <is>
          <t>Barbecook BC-ACC-7017 sütőnyárs tartó, rozsdamentes acél, 5 férőhelyes</t>
        </is>
      </c>
      <c r="C170" s="1" t="n">
        <v>10290.0</v>
      </c>
      <c r="D170" s="7" t="n">
        <f>HYPERLINK("https://www.somogyi.hu/product/barbecook-bc-acc-7017-sutonyars-tarto-rozsdamentes-acel-5-ferohelyes-bc-acc-7017-18724","https://www.somogyi.hu/product/barbecook-bc-acc-7017-sutonyars-tarto-rozsdamentes-acel-5-ferohelyes-bc-acc-7017-18724")</f>
        <v>0.0</v>
      </c>
      <c r="E170" s="7" t="n">
        <f>HYPERLINK("https://www.somogyi.hu/data/img/product_main_images/small/18724.jpg","https://www.somogyi.hu/data/img/product_main_images/small/18724.jpg")</f>
        <v>0.0</v>
      </c>
      <c r="F170" s="2" t="inlineStr">
        <is>
          <t>5400269238728</t>
        </is>
      </c>
      <c r="G170" s="4" t="inlineStr">
        <is>
          <t>Szereti a nyárson grillezett ételeket? Készítsen változatos ízbombákat otthon, saját kezűleg, egyszerűen és hatékonyan! 
De hogyan készítheti el őket a lehető legkönnyebben? Egy Barbecook nyárstartóval természetesen! A Barbecook BC-ACC-7013 nyárstartó segítségével egyszerre több nyársat is rögzíthet (5db nyárs tartozék), így könnyedén ellenőrizheti őket a grillezés során. Ezzel az eszközzel készítheti el a valaha volt legfinomabb nyársakat!
A nyárstartó méretei - 26,5x4,5x35,5cm - tökéletes méretet biztosítanak a különböző hosszúságú és vastagságú nyársak rögzítéséhez. Ennek az eszköznek a használatával nem csak időt takarít meg, hanem biztosíthatja, hogy minden egyes nyárs egyenletesen sült meg, így garantálva az ízletes és szaftos eredményt minden alkalommal. Faszenes és gázgrillen is használható. 
Indítsa a grillszezont a Barbecook BC-ACC-7013 nyárstartóval, és készítsen el ellenállhatatlan nyársakat, amelyek minden vendégét lenyűgözik! Tegyen szert erre a praktikus grill kiegészítőre, és váljon a barbecue-partik mesterszakácsává!</t>
        </is>
      </c>
    </row>
    <row r="171">
      <c r="A171" s="3" t="inlineStr">
        <is>
          <t>BC-ACC-7073</t>
        </is>
      </c>
      <c r="B171" s="2" t="inlineStr">
        <is>
          <t>Barbecook BC-ACC-7073 10db-os rozsdamentes acélnyárs készlet, 33cm</t>
        </is>
      </c>
      <c r="C171" s="1" t="n">
        <v>4290.0</v>
      </c>
      <c r="D171" s="7" t="n">
        <f>HYPERLINK("https://www.somogyi.hu/product/barbecook-bc-acc-7073-10db-os-rozsdamentes-acelnyars-keszlet-33cm-bc-acc-7073-18737","https://www.somogyi.hu/product/barbecook-bc-acc-7073-10db-os-rozsdamentes-acelnyars-keszlet-33cm-bc-acc-7073-18737")</f>
        <v>0.0</v>
      </c>
      <c r="E171" s="7" t="n">
        <f>HYPERLINK("https://www.somogyi.hu/data/img/product_main_images/small/18737.jpg","https://www.somogyi.hu/data/img/product_main_images/small/18737.jpg")</f>
        <v>0.0</v>
      </c>
      <c r="F171" s="2" t="inlineStr">
        <is>
          <t>5400269201166</t>
        </is>
      </c>
      <c r="G171" s="4" t="inlineStr">
        <is>
          <t>Keresi a tökéletes eszközt a grillpartikhoz, ahol a nyársakon sült finomságok a főszereplők? A Barbecook BC-ACC-7073 10db-os rozsdamentes acélnyárs készlettel most minden eddiginél egyszerűbben és biztonságosabban készítheti el kedvenc grill ételeit.
Ez a kiváló minőségű, újrafelhasználható nyárskészlet tartalmaz 10 darab 33cm hosszú rozsdamentes acélnyársat, amelyek ideálisak húsok, zöldségek vagy akár gyümölcsök grillre tűzéséhez. A lekerekített végpontoknak köszönhetően a hozzávalók biztonságosan a helyükön maradnak sütés közben.
A rozsdamentes acél nemcsak tartósságot és hosszú élettartamot garantál, hanem könnyen tisztíthatóvá is teszi a nyársakat, így a készletet újra és újra használhatja a következő grillpartik alkalmával. A 33cm hosszúság tökéletes egyensúlyt biztosít a kezelhetőség és az elegendő férőhely között az ételek számára.
Élvezze a grillezés minden örömét a Barbecook BC-ACC-7073 10db-os rozsdamentes acélnyárs készlettel, amely praktikus, tartós és elegáns megoldást kínál minden grillezési alkalomra.</t>
        </is>
      </c>
    </row>
    <row r="172">
      <c r="A172" s="3" t="inlineStr">
        <is>
          <t>BC-ACC-7076</t>
        </is>
      </c>
      <c r="B172" s="2" t="inlineStr">
        <is>
          <t>Barbecook BC-ACC-7076 100db-os bambusz nyárskészlet, 30cm</t>
        </is>
      </c>
      <c r="C172" s="1" t="n">
        <v>1190.0</v>
      </c>
      <c r="D172" s="7" t="n">
        <f>HYPERLINK("https://www.somogyi.hu/product/barbecook-bc-acc-7076-100db-os-bambusz-nyarskeszlet-30cm-bc-acc-7076-18766","https://www.somogyi.hu/product/barbecook-bc-acc-7076-100db-os-bambusz-nyarskeszlet-30cm-bc-acc-7076-18766")</f>
        <v>0.0</v>
      </c>
      <c r="E172" s="7" t="n">
        <f>HYPERLINK("https://www.somogyi.hu/data/img/product_main_images/small/18766.jpg","https://www.somogyi.hu/data/img/product_main_images/small/18766.jpg")</f>
        <v>0.0</v>
      </c>
      <c r="F172" s="2" t="inlineStr">
        <is>
          <t>5400269217839</t>
        </is>
      </c>
      <c r="G172" s="4" t="inlineStr">
        <is>
          <t>Egy egyszerű, mégis zseniális megoldást keres a következő grillpartira? A Barbecook BC-ACC-7076 100db-os bambusz nyárskészlettel minden előkészület nélkül, kéznél van a tökéletes eszköz a finomságok sütéséhez!
Ez a készlet 100 darab 30cm hosszú bambusz nyársat tartalmaz, amely ideális választás húsok, zöldségek, gyümölcsök vagy akár édességek grillezéséhez. A bambusz természetes anyaga nem csak környezetbarát, hanem garantálja a nyársak stabilitását és tartósságát is, így biztosíthatja, hogy az ételek biztonságban maradjanak sütés közben.
A nyársak előnye, hogy egyszerűen használhatók és eldobhatók, így nem kell törődnie a tisztítással a grillparti után. Emellett a 30cm hosszúság tökéletes egyensúlyt biztosít a könnyű kezelhetőség és elegendő hely között az ételek számára, hogy mindenki kedvére variálhassa az ízeket.
Varázsoljon elő ínycsiklandozó grillételeket a Barbecook BC-ACC-7076 100db-os bambusz nyárskészlettel, és tegye a grillezést egyszerűvé és élvezetessé mindenki számára!</t>
        </is>
      </c>
    </row>
    <row r="173">
      <c r="A173" s="3" t="inlineStr">
        <is>
          <t>BC-ACC-7068</t>
        </is>
      </c>
      <c r="B173" s="2" t="inlineStr">
        <is>
          <t>Barbecook BC-ACC-7068 4db-os nyárskészlet, fa nyél, 43cm, 100% FSC</t>
        </is>
      </c>
      <c r="C173" s="1" t="n">
        <v>2690.0</v>
      </c>
      <c r="D173" s="7" t="n">
        <f>HYPERLINK("https://www.somogyi.hu/product/barbecook-bc-acc-7068-4db-os-nyarskeszlet-fa-nyel-43cm-100-fsc-bc-acc-7068-18721","https://www.somogyi.hu/product/barbecook-bc-acc-7068-4db-os-nyarskeszlet-fa-nyel-43cm-100-fsc-bc-acc-7068-18721")</f>
        <v>0.0</v>
      </c>
      <c r="E173" s="7" t="n">
        <f>HYPERLINK("https://www.somogyi.hu/data/img/product_main_images/small/18721.jpg","https://www.somogyi.hu/data/img/product_main_images/small/18721.jpg")</f>
        <v>0.0</v>
      </c>
      <c r="F173" s="2" t="inlineStr">
        <is>
          <t>5400269240707</t>
        </is>
      </c>
      <c r="G173" s="4" t="inlineStr">
        <is>
          <t>Egy tartós és környezetbarát megoldást keres a tökéletes grill nyársakhoz? A Barbecook BC-ACC-7068 4db-os nyárskészlet minden grillezési igényét kielégíti, újrahasználható nyársakkal, amelyekkel a legfinomabb grill ételeket készítheti el.
Ez a prémium nyárskészlet nemcsak hogy újrafelhasználható, így csökkenti a környezetre gyakorolt hatását, de FSC® címkével is ellátott, ami garantálja, hogy a nyírfa nyél fenntartható forrásból származik. A krómozott szár tovább növeli az eszközök tartósságát és könnyen tisztíthatóvá teszi őket, így a készlet hosszú távon is Önnek és a környezetnek is a legjobb választás.
A nyárskészlet méretei – 1,5x1,5x43cm – tökéletesek a különböző húsfajták, zöldségek vagy akár gyümölcsök grillezésére, lehetővé téve a változatos és ízletes ételek elkészítését.
Felejtse el az egyszer használatos grill eszközöket a Barbecook BC-ACC-7068 4db-os nyárskészlettel, és készítsen fenntartható módon grill ételeket.</t>
        </is>
      </c>
    </row>
    <row r="174">
      <c r="A174" s="3" t="inlineStr">
        <is>
          <t>BC-ACC-7471</t>
        </is>
      </c>
      <c r="B174" s="2" t="inlineStr">
        <is>
          <t>Barbecook BC-ACC-7471 3db-os nyárskészlet, FSC, 65cm, XL méret,</t>
        </is>
      </c>
      <c r="C174" s="1" t="n">
        <v>5390.0</v>
      </c>
      <c r="D174" s="7" t="n">
        <f>HYPERLINK("https://www.somogyi.hu/product/barbecook-bc-acc-7471-3db-os-nyarskeszlet-fsc-65cm-xl-meret-bc-acc-7471-18722","https://www.somogyi.hu/product/barbecook-bc-acc-7471-3db-os-nyarskeszlet-fsc-65cm-xl-meret-bc-acc-7471-18722")</f>
        <v>0.0</v>
      </c>
      <c r="E174" s="7" t="n">
        <f>HYPERLINK("https://www.somogyi.hu/data/img/product_main_images/small/18722.jpg","https://www.somogyi.hu/data/img/product_main_images/small/18722.jpg")</f>
        <v>0.0</v>
      </c>
      <c r="F174" s="2" t="inlineStr">
        <is>
          <t>5404035706756</t>
        </is>
      </c>
      <c r="G174" s="4" t="inlineStr">
        <is>
          <t>Kész az új grill élményekre, ami messze túlmutat a hagyományos barbecue-n? Fedezze fel a Barbecook BC-ACC-7471 három darabos nyárskészletét, ami új dimenziót ad a grillezésnek! 
A készletben található három újrafelhasználható nyárs 65 cm hosszú, ami elegendő teret biztosít a húsok, zöldségek vagy akár gyümölcsök számára is, így egyszerre több fogást is kényelmesen elkészíthet. A FSC®-minősítés biztosítja, hogy a nyársak készítése során figyelembe vették a fenntartható erdőgazdálkodás elveit, így nem csak a környezettudatos választás, hanem az ínyencek választása is.
Tegye a következő grillezést felejthetetlen élménnyé a Barbecook BC-ACC-7471 nyárskészletével! Legyen szó családi összejövetelekről vagy baráti grillezésekről, ezek a nyársak garantálják, hogy az ételek nemcsak ízletesek, hanem látványosak is legyenek. Ne várjon tovább, bővítse grillezési eszközeinek tárházát ezzel a praktikus és stílusos készlettel!</t>
        </is>
      </c>
    </row>
    <row r="175">
      <c r="A175" s="6" t="inlineStr">
        <is>
          <t xml:space="preserve">      Grillezés / Grill kiegészítő / Pizzasütés</t>
        </is>
      </c>
      <c r="B175" s="6" t="inlineStr">
        <is>
          <t/>
        </is>
      </c>
      <c r="C175" s="6" t="inlineStr">
        <is>
          <t/>
        </is>
      </c>
      <c r="D175" s="6" t="inlineStr">
        <is>
          <t/>
        </is>
      </c>
      <c r="E175" s="6" t="inlineStr">
        <is>
          <t/>
        </is>
      </c>
      <c r="F175" s="6" t="inlineStr">
        <is>
          <t/>
        </is>
      </c>
      <c r="G175" s="6" t="inlineStr">
        <is>
          <t/>
        </is>
      </c>
    </row>
    <row r="176">
      <c r="A176" s="3" t="inlineStr">
        <is>
          <t>BC-ACC-7225</t>
        </is>
      </c>
      <c r="B176" s="2" t="inlineStr">
        <is>
          <t>Barbecook BC-ACC-7225 pizzalapát, FSC, 63x32cm</t>
        </is>
      </c>
      <c r="C176" s="1" t="n">
        <v>13090.0</v>
      </c>
      <c r="D176" s="7" t="n">
        <f>HYPERLINK("https://www.somogyi.hu/product/barbecook-bc-acc-7225-pizzalapat-fsc-63x32cm-bc-acc-7225-18730","https://www.somogyi.hu/product/barbecook-bc-acc-7225-pizzalapat-fsc-63x32cm-bc-acc-7225-18730")</f>
        <v>0.0</v>
      </c>
      <c r="E176" s="7" t="n">
        <f>HYPERLINK("https://www.somogyi.hu/data/img/product_main_images/small/18730.jpg","https://www.somogyi.hu/data/img/product_main_images/small/18730.jpg")</f>
        <v>0.0</v>
      </c>
      <c r="F176" s="2" t="inlineStr">
        <is>
          <t>5420059805589</t>
        </is>
      </c>
      <c r="G176" s="4" t="inlineStr">
        <is>
          <t>Szeretné pizzáját tökéletesen, egyszerűen felhelyezni és levenni a grillről? A Barbecook BC-ACC-7225 pizzalapátja megkönnyíti ezt a folyamatot, lehetővé téve, hogy mint egy igazi pizzamester, elkészíthesse a család vagy ismerősök kedvenc ételeit.
A Barbecook BC-ACC-7225 pizzalapát különlegessége a nagysága. 63x32 cm-es méretével szinte minden pizzához megfelelő. Legyen szó akár otthon készített, akár mélyhűtött pizzáról, ez a lapát biztosítja, hogy a pizza épségben kerüljön a grillre és ugyanígy távozzon onnan. Az FSC®-minősített faanyagból készült nyél nemcsak környezetbarát választás, hanem garantálja a termék hosszú távú tartósságát és stabilitását is.
A Barbecook BC-ACC-7225 pizzalapát tökéletes eszköz minden grillpartira vagy családi összejövetelre, ahol a pizza van a középpontban. Könnyedén kezelhető, így bárki számára egyszerűvé teszi a pizza készítést.
Ne hagyja, hogy a pizza kezelése megzavarja grillezési élményét. Válassza a Barbecook BC-ACC-7225 pizzalapátot, és élvezze a problémamentes, profi pizzakészítést saját otthonában!</t>
        </is>
      </c>
    </row>
    <row r="177">
      <c r="A177" s="3" t="inlineStr">
        <is>
          <t>BC-ACC-7034</t>
        </is>
      </c>
      <c r="B177" s="2" t="inlineStr">
        <is>
          <t>Barbecook BC-ACC-7034 Olivia rozsdamentes acél pizzalapát, 43cm-es, fekete nyél</t>
        </is>
      </c>
      <c r="C177" s="1" t="n">
        <v>8990.0</v>
      </c>
      <c r="D177" s="7" t="n">
        <f>HYPERLINK("https://www.somogyi.hu/product/barbecook-bc-acc-7034-olivia-rozsdamentes-acel-pizzalapat-43cm-es-fekete-nyel-bc-acc-7034-18765","https://www.somogyi.hu/product/barbecook-bc-acc-7034-olivia-rozsdamentes-acel-pizzalapat-43cm-es-fekete-nyel-bc-acc-7034-18765")</f>
        <v>0.0</v>
      </c>
      <c r="E177" s="7" t="n">
        <f>HYPERLINK("https://www.somogyi.hu/data/img/product_main_images/small/18765.jpg","https://www.somogyi.hu/data/img/product_main_images/small/18765.jpg")</f>
        <v>0.0</v>
      </c>
      <c r="F177" s="2" t="inlineStr">
        <is>
          <t>5400269210625</t>
        </is>
      </c>
      <c r="G177" s="4" t="inlineStr">
        <is>
          <t>Szeretné otthonában is mesterszintre emelni a pizzakészítés művészetét? A Barbecook BC-ACC-7034 Olivia rozsdamentes pizzalapát a tökéletes eszköz minden pizzakedvelő számára, aki a grillen is kívánja élvezni az igazi, ropogós aljú pizzák ízét.
Ez a prémium minőségű rozsdamentes acélból készült pizzalapát nem csak megkönnyíti a pizza grillre helyezését és annak eltávolítását, de biztosítja a sütési folyamat biztonságát is. A termék méretei – 18x18x43cm – ideálisak a különböző méretű pizzák kezeléséhez, így bármilyen otthoni pizzasütés könnyedén profi szintűvé avanzsálhat.
A kényelmes tárolást lehetővé tevő akasztóval ellátott Olivia pizzalapát nemcsak hasznos, hanem elegáns kiegészítője is lesz a grillezési eszközeinek. Akár a kertben tartott baráti összejövetelekről van szó, akár egy csendes családi vacsoráról, ez a lapát garantálja, hogy a pizzák tökéletes állapotban kerüljenek az asztalra.
Tegye a pizzakészítést egyszerűvé és élvezetessé a Barbecook BC-ACC-7034 Olivia rozsdamentes pizzalapáttal.</t>
        </is>
      </c>
    </row>
    <row r="178">
      <c r="A178" s="3" t="inlineStr">
        <is>
          <t>BC-ACC-7013</t>
        </is>
      </c>
      <c r="B178" s="2" t="inlineStr">
        <is>
          <t>Barbecook BC-ACC-7013 univerzális pizzakő, tűzálló, 36cm átmérő</t>
        </is>
      </c>
      <c r="C178" s="1" t="n">
        <v>15490.0</v>
      </c>
      <c r="D178" s="7" t="n">
        <f>HYPERLINK("https://www.somogyi.hu/product/barbecook-bc-acc-7013-univerzalis-pizzako-tuzallo-36cm-atmero-bc-acc-7013-18783","https://www.somogyi.hu/product/barbecook-bc-acc-7013-univerzalis-pizzako-tuzallo-36cm-atmero-bc-acc-7013-18783")</f>
        <v>0.0</v>
      </c>
      <c r="E178" s="7" t="n">
        <f>HYPERLINK("https://www.somogyi.hu/data/img/product_main_images/small/18783.jpg","https://www.somogyi.hu/data/img/product_main_images/small/18783.jpg")</f>
        <v>0.0</v>
      </c>
      <c r="F178" s="2" t="inlineStr">
        <is>
          <t>5400269231675</t>
        </is>
      </c>
      <c r="G178" s="4" t="inlineStr">
        <is>
          <t>Szeretné otthonában élvezni a különféle nemzetek ízeit anélkül, hogy elhagyná kertjét? Tenne egy kulináris utazást Olaszországba? 
Egy ropogós, ellenállhatatlan feltétekkel megrakott pizza az, ami azonnal eszünkbe jut! De hogyan készíthető el a legjobban? Természetesen a grillen! Ismerje meg a BBQ pizza lapot, egy rendkívül praktikus eszközt, amely gáz- és faszenes grilleken egyaránt használható. Egy BBQ pizza lappal azonnal átalakíthatja a grilljét egy valódi pizza sütővé!
Ez a különleges 36cm átmérőjű pizzakő lehetővé teszi, hogy otthonában, saját kertjében készítse el az autentikus, tűzön sült pizzákat. A Barbecook univerzális pizza lap használata egyszerű, így bárki képes lesz a tökéletes olasz pizzát elkészíteni, akár gáz-, akár faszenes grillen. Legyen szó hagyományos Margheritáról vagy egyedi, saját kreálmányról, a BBQ pizza lap segítségével minden pizza ropogós aljat és tökéletesen megolvadt sajtot kap.
Hívja meg barátait egy olasz estére, és kápráztassa el őket házi készítésű pizzáival a Barbecook BC-ACC-7013 pizzakő segítségével!</t>
        </is>
      </c>
    </row>
    <row r="179">
      <c r="A179" s="6" t="inlineStr">
        <is>
          <t xml:space="preserve">      Grillezés / Grill kiegészítő / Sütőlapok és rácsok</t>
        </is>
      </c>
      <c r="B179" s="6" t="inlineStr">
        <is>
          <t/>
        </is>
      </c>
      <c r="C179" s="6" t="inlineStr">
        <is>
          <t/>
        </is>
      </c>
      <c r="D179" s="6" t="inlineStr">
        <is>
          <t/>
        </is>
      </c>
      <c r="E179" s="6" t="inlineStr">
        <is>
          <t/>
        </is>
      </c>
      <c r="F179" s="6" t="inlineStr">
        <is>
          <t/>
        </is>
      </c>
      <c r="G179" s="6" t="inlineStr">
        <is>
          <t/>
        </is>
      </c>
    </row>
    <row r="180">
      <c r="A180" s="3" t="inlineStr">
        <is>
          <t>BC-ACC-7088</t>
        </is>
      </c>
      <c r="B180" s="2" t="inlineStr">
        <is>
          <t>Barbecook BC-ACC-7088 Brahma kétoldalas öntöttvas grill lap, 24x42cm</t>
        </is>
      </c>
      <c r="C180" s="1" t="n">
        <v>21290.0</v>
      </c>
      <c r="D180" s="7" t="n">
        <f>HYPERLINK("https://www.somogyi.hu/product/barbecook-bc-acc-7088-brahma-ketoldalas-ontottvas-grill-lap-24x42cm-bc-acc-7088-18787","https://www.somogyi.hu/product/barbecook-bc-acc-7088-brahma-ketoldalas-ontottvas-grill-lap-24x42cm-bc-acc-7088-18787")</f>
        <v>0.0</v>
      </c>
      <c r="E180" s="7" t="n">
        <f>HYPERLINK("https://www.somogyi.hu/data/img/product_main_images/small/18787.jpg","https://www.somogyi.hu/data/img/product_main_images/small/18787.jpg")</f>
        <v>0.0</v>
      </c>
      <c r="F180" s="2" t="inlineStr">
        <is>
          <t>5400269224318</t>
        </is>
      </c>
      <c r="G180" s="4" t="inlineStr">
        <is>
          <t>Gondolkodott már azon, hogyan tehetné a grillezési élményét még különlegesebbé? A Barbecook BC-ACC-7088 Brahma kétoldalas öntöttvas grill lap pontosan ezt kínálja minden kompatibilis faszenes grill tulajdonos számára.
Ez a precíziósan kialakított grill lap a hő egyenletes eloszlását biztosítja, így az ételek minden oldalról tökéletesre sülnek. Legyen szó zöldségekről, húsról vagy akár a reggeli kedvencekről, a kétoldalas kialakítás – egy sima és egy bordázott oldal – minden igényt kielégít. A sima felület ideális palacsintákhoz vagy tojásokhoz, míg a bordázott felület a húsoknak és zöldségeknek adja meg azt a csíkozott, jellegzetes grillezett külsőt. Méretei (42x24cm) tökéletesen illeszkednek a legtöbb faszenes grillre, könnyen tisztítható felülete pedig biztosítja, hogy hosszú távon megtarthassa eredeti minőségét.
Fedezze fel a Barbecook Brahma kétoldalas öntöttvas grill lap adta végtelen lehetőségeket!</t>
        </is>
      </c>
    </row>
    <row r="181">
      <c r="A181" s="3" t="inlineStr">
        <is>
          <t>BC-ACC-7126</t>
        </is>
      </c>
      <c r="B181" s="2" t="inlineStr">
        <is>
          <t>Barbecook BC-ACC-7126 Dynamic Core zománcozott öntöttvas grill lap, 43x35cm</t>
        </is>
      </c>
      <c r="C181" s="1" t="n">
        <v>37990.0</v>
      </c>
      <c r="D181" s="7" t="n">
        <f>HYPERLINK("https://www.somogyi.hu/product/barbecook-bc-acc-7126-dynamic-core-zomancozott-ontottvas-grill-lap-43x35cm-bc-acc-7126-18790","https://www.somogyi.hu/product/barbecook-bc-acc-7126-dynamic-core-zomancozott-ontottvas-grill-lap-43x35cm-bc-acc-7126-18790")</f>
        <v>0.0</v>
      </c>
      <c r="E181" s="7" t="n">
        <f>HYPERLINK("https://www.somogyi.hu/data/img/product_main_images/small/18790.jpg","https://www.somogyi.hu/data/img/product_main_images/small/18790.jpg")</f>
        <v>0.0</v>
      </c>
      <c r="F181" s="2" t="inlineStr">
        <is>
          <t>5400269240530</t>
        </is>
      </c>
      <c r="G181" s="4" t="inlineStr">
        <is>
          <t>Ön is szereti a déli konyhát? Akkor a Barbecook BC-ACC-7126 Dynamic Core zománcozott öntöttvas grill lapja pontosan Önnek való! Helyezze a grill lapot a gázgrilljére, és fedezzen fel rengeteg új grillezési lehetőséget. ¡Caramba!
Mi is az a Dynamic Core zománcozott öntöttvas grill lap?
Amikor egy spanyol étterembe látogat, kétségtelenül találkozni fog a 'à la plancha' fogalmával az étlapon. Ez szó szerint azt jelenti: sütés lapos serpenyőben. Hogy ezt az élményt a gázgrilljén is megvalósíthassa, a Barbecook megalkotta az univerzális, Dynamic Core zománcozott öntöttvas grill lapot. Ez teljesen zománcozott öntöttvasból készült, és rendelkezik egy sima és egy bordázott oldallal. A grill lap specifikus összetétele biztosítja, hogy gyorsan felmelegszik, és megtartja a hőt. Így kedvenc hozzávalóinak, mint például a garnéla vagy a tintahal pirítása gyerekjátékká válik. Ez a grill lap kifejezetten a Barbecook Siesta és Barbecook Stella gázgrillekhez lett tervezve.
Hogyan kell használni?
A Barbecook univerzális grill lapjának használata rendkívül egyszerű. Helyezze a grill lapot a gázgrilljére, nyissa ki a gázpalackot. Állítsa az összes égőt teljes teljesítményre, és hagyja a grillt körülbelül tíz percig előmelegedni. Amikor a grill elég forró, tegyen egy kis olívaolajat a grill lapra, és kezdődhet is az 'à la plancha' grillezés. Minél forróbb a lap, annál kisebb az esélye annak, hogy az ételek hozzátapadnak. Ráadásul a magas hőmérséklet megőrzi az alapanyagok tiszta ízét. Szeretne lapos serpenyőn grillezni, vagy inkább néhány grillcsíkot látni az elkészített ételeken? Az univerzális grill lappal mindkettőre van lehetőség! A grill lapos grillezés nagyon gyors, szóval ne felejtse el időben megfordítani a hozzávalókat. Például a garnélákat oldalanként mindössze 2 percig kell sütni. A kész ételeket spatulával szedje le a lapról.
Hogyan tartsuk karban az univerzális grill lapot?
A grill lap karbantartása egyszerű! Aggresszív tisztítószerek használatát kerülje. Egyszerűen öntsön egy kis vizet a forró grill lapra, hogy lazítsa a szennyeződést. Ezután használjon egy puha szivacsot vagy rongyot a maradék zsírmaradványok eltávolításához, amikor az eszköz lehűlt. Soha ne felejtse teljesen megszárítani a grill lapot a tárolás előtt.
Vágjon bele a grillezésbe a Barbecook Dynamic Core zománcozott öntöttvas grill lapjával, és elkápráztathatja vendégeit!</t>
        </is>
      </c>
    </row>
    <row r="182">
      <c r="A182" s="3" t="inlineStr">
        <is>
          <t>BC-ACC-7087</t>
        </is>
      </c>
      <c r="B182" s="2" t="inlineStr">
        <is>
          <t>Barbecook BC-ACC-7087 zománcozott öntöttvas grill lap, kétoldalas, kerek, 35cm</t>
        </is>
      </c>
      <c r="C182" s="1" t="n">
        <v>22190.0</v>
      </c>
      <c r="D182" s="7" t="n">
        <f>HYPERLINK("https://www.somogyi.hu/product/barbecook-bc-acc-7087-zomancozott-ontottvas-grill-lap-ketoldalas-kerek-35cm-bc-acc-7087-18786","https://www.somogyi.hu/product/barbecook-bc-acc-7087-zomancozott-ontottvas-grill-lap-ketoldalas-kerek-35cm-bc-acc-7087-18786")</f>
        <v>0.0</v>
      </c>
      <c r="E182" s="7" t="n">
        <f>HYPERLINK("https://www.somogyi.hu/data/img/product_main_images/small/18786.jpg","https://www.somogyi.hu/data/img/product_main_images/small/18786.jpg")</f>
        <v>0.0</v>
      </c>
      <c r="F182" s="2" t="inlineStr">
        <is>
          <t>5400269219611</t>
        </is>
      </c>
      <c r="G182" s="4" t="inlineStr">
        <is>
          <t>Szeretne minden grillezésnél tökéletes eredményt elérni? A Barbecook BC-ACC-7087 kétoldalas kerek öntöttvas grill lap az ideális eszköz minden kompatibilis faszenes grillhez, amely garantálja az ételek egyenletes sütését.
Ez 35cm átmérőjű, magas minőségű, zománcozott öntöttvas grill lap tökéletes választás a húsok, zöldségek és még sok más ételek sütésére. Kétoldalas kialakításának köszönhetően választhat a sima felület és a bordázott oldal között, így sokoldalúsága lehetővé teszi mindenféle étel elkészítését. A sima oldal kiváló a palacsintákhoz vagy reggeli ételekhez, míg a bordázott oldal grillezett zöldségekhez és húsokhoz ideális, amelyek így megkapják a jellegzetes grillezési nyomokat.
Hozza ki a legtöbbet grillezésből a Barbecook kétoldalas öntöttvas grill lappal!</t>
        </is>
      </c>
    </row>
    <row r="183">
      <c r="A183" s="3" t="inlineStr">
        <is>
          <t>BC-ACC-7059</t>
        </is>
      </c>
      <c r="B183" s="2" t="inlineStr">
        <is>
          <t>Barbecook BC-ACC-7059 univerzális grillrács</t>
        </is>
      </c>
      <c r="C183" s="1" t="n">
        <v>8490.0</v>
      </c>
      <c r="D183" s="7" t="n">
        <f>HYPERLINK("https://www.somogyi.hu/product/barbecook-bc-acc-7059-univerzalis-grillracs-bc-acc-7059-18739","https://www.somogyi.hu/product/barbecook-bc-acc-7059-univerzalis-grillracs-bc-acc-7059-18739")</f>
        <v>0.0</v>
      </c>
      <c r="E183" s="7" t="n">
        <f>HYPERLINK("https://www.somogyi.hu/data/img/product_main_images/small/18739.jpg","https://www.somogyi.hu/data/img/product_main_images/small/18739.jpg")</f>
        <v>0.0</v>
      </c>
      <c r="F183" s="2" t="inlineStr">
        <is>
          <t>5400269240677</t>
        </is>
      </c>
      <c r="G183" s="4" t="inlineStr">
        <is>
          <t>Egy multifunkcionális grillrácsot keres, ami könnyedén alkalmazkodik minden sütési igényhez? A Barbecook BC-ACC-7059 univerzális grillrács a tökéletes választás azok számára, akik szeretik a változatosságot és az egyszerű használatot grillpartijaik során.
Ez a kiváló minőségű grillrács ideális megoldást nyújt mindenféle étel könnyű forgatásához, legyen szó zöldségekről, húsokról, halakról vagy akár szendvicsekről. A 41x62 cm méret biztosítja, hogy egyszerre nagyobb mennyiségű étel is elférjen rajta, így akár nagyobb társaságokat is kényelmesen elláthatunk finomabbnál finomabb grillezett fogásokkal.
A Barbecook BC-ACC-7059 nemcsak praktikus, de fenntartható választás is. Az FSC®-minősítés garantálja, hogy a termék gyártása során figyelembe vették a környezetvédelmi szempontokat, így választásával Ön is hozzájárulhat a fenntartható erdőgazdálkodáshoz.
Ráadásul rendkívül könnyen tisztítható, így nem kell órákat töltenie a sütés utáni takarítással. Egyszerűen csak öblítse le vízzel, és máris kész a következő használatra.
Ne hagyja, hogy a grillezési élményt a körülményes előkészületek és a takarítás árnyékolja be. A Barbecook BC-ACC-7059 univerzális grillrács segítségével Ön is profi szakácsként varázsolhatja el vendégeit, miközben a környezettudatos és egyszerű használatnak köszönhetően több idő jut magára a szórakozásra.</t>
        </is>
      </c>
    </row>
    <row r="184">
      <c r="A184" s="3" t="inlineStr">
        <is>
          <t>10-238-016</t>
        </is>
      </c>
      <c r="B184" s="2" t="inlineStr">
        <is>
          <t>Nava 10-238-016 BBQ Guru grillrács húsokhoz, 35x25 cm</t>
        </is>
      </c>
      <c r="C184" s="1" t="n">
        <v>2691.0</v>
      </c>
      <c r="D184" s="7" t="n">
        <f>HYPERLINK("https://www.somogyi.hu/product/nava-10-238-016-bbq-guru-grillracs-husokhoz-35x25-cm-10-238-016-18671","https://www.somogyi.hu/product/nava-10-238-016-bbq-guru-grillracs-husokhoz-35x25-cm-10-238-016-18671")</f>
        <v>0.0</v>
      </c>
      <c r="E184" s="7" t="n">
        <f>HYPERLINK("https://www.somogyi.hu/data/img/product_main_images/small/18671.jpg","https://www.somogyi.hu/data/img/product_main_images/small/18671.jpg")</f>
        <v>0.0</v>
      </c>
      <c r="F184" s="2" t="inlineStr">
        <is>
          <t>5205746152739</t>
        </is>
      </c>
      <c r="G184" s="4" t="inlineStr">
        <is>
          <t>Szeretne egy megbízható társat a grillezéshez, ami minden igényt kielégít? A Nava 10-238-016 BBQ Guru grillrács húsokhoz, dupla fémrácsos grillező kosárral, valódi segítségére lesz a barbecue partik során. 
Ez a kiváló minőségű, rendkívül tartós fémből készült grillrács króm bevonattal rendelkezik a sérülésekkel szembeni védelem érdekében, és ergonomikus, hosszú fa nyéllel van ellátva, hogy kényelmes használatot biztosítson még a legigényesebb grillezők számára is.
35x25  cm-es felülete, rácsos keretével tökéletesen alkalmazkodik húsok és zöldségek grillezéséhez, ideális választás egyszerű és biztonságos sütéshez a grillen. Ez a magas minőségű grillrács azok számára elengedhetetlen, akik a legjobb eredményeket szeretnék elérni grillezés során. Az Európai élelmiszer-érintkezési szabályozásoknak megfelelően gyártva.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grillrács húsokhoz az, amire minden szenvedélyes grillezőnek szüksége van.</t>
        </is>
      </c>
    </row>
    <row r="185">
      <c r="A185" s="3" t="inlineStr">
        <is>
          <t>BC-ACC-7461</t>
        </is>
      </c>
      <c r="B185" s="2" t="inlineStr">
        <is>
          <t>Barbecook BC-ACC-7461 rozsdamentes acél sütőrács, 43cm átmérő</t>
        </is>
      </c>
      <c r="C185" s="1" t="n">
        <v>13190.0</v>
      </c>
      <c r="D185" s="7" t="n">
        <f>HYPERLINK("https://www.somogyi.hu/product/barbecook-bc-acc-7461-rozsdamentes-acel-sutoracs-43cm-atmero-bc-acc-7461-18798","https://www.somogyi.hu/product/barbecook-bc-acc-7461-rozsdamentes-acel-sutoracs-43cm-atmero-bc-acc-7461-18798")</f>
        <v>0.0</v>
      </c>
      <c r="E185" s="7" t="n">
        <f>HYPERLINK("https://www.somogyi.hu/data/img/product_main_images/small/18798.jpg","https://www.somogyi.hu/data/img/product_main_images/small/18798.jpg")</f>
        <v>0.0</v>
      </c>
      <c r="F185" s="2" t="inlineStr">
        <is>
          <t>5404035701720</t>
        </is>
      </c>
      <c r="G185" s="4" t="inlineStr">
        <is>
          <t>Szeretné fokozni a szabadtéri élményt grilljével? A Barbecook BC-ACC-7461 rozsdamentes acél sütőrács az, amire szüksége van! 
Ez a prémium minőségű sütőrács kifejezetten a Barbecook Loewy 45 és Optima modellekhez, valamint minden velük kompatibilis faszenes grillhez lett tervezve, így garantálja az illeszkedést és a tökéletes használati élményt.
Bármilyen ételt (legyen az hús, zöldség vagy akár egy egész hal) könnyedén megsüthet segítségével. A 43cm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BC-ACC-7461 sütőráccsal!</t>
        </is>
      </c>
    </row>
    <row r="186">
      <c r="A186" s="3" t="inlineStr">
        <is>
          <t>BC-ACC-7459</t>
        </is>
      </c>
      <c r="B186" s="2" t="inlineStr">
        <is>
          <t>Barbecook BC-ACC-7459 rozsdamentes acél sütőrács, 50cm átmérő</t>
        </is>
      </c>
      <c r="C186" s="1" t="n">
        <v>17190.0</v>
      </c>
      <c r="D186" s="7" t="n">
        <f>HYPERLINK("https://www.somogyi.hu/product/barbecook-bc-acc-7459-rozsdamentes-acel-sutoracs-50cm-atmero-bc-acc-7459-18796","https://www.somogyi.hu/product/barbecook-bc-acc-7459-rozsdamentes-acel-sutoracs-50cm-atmero-bc-acc-7459-18796")</f>
        <v>0.0</v>
      </c>
      <c r="E186" s="7" t="n">
        <f>HYPERLINK("https://www.somogyi.hu/data/img/product_main_images/small/18796.jpg","https://www.somogyi.hu/data/img/product_main_images/small/18796.jpg")</f>
        <v>0.0</v>
      </c>
      <c r="F186" s="2" t="inlineStr">
        <is>
          <t>5404035701683</t>
        </is>
      </c>
      <c r="G186" s="4" t="inlineStr">
        <is>
          <t>Szeretné fokozni a szabadtéri élményt grilljével? A Barbecook BC-ACC-7459 rozsdamentes acél sütőrács az, amire szüksége van! 
Ez a prémium minőségű sütőrács kifejezetten a Barbecook Loewy 50 és Major modellekhez, valamint minden velük kompatibilis faszenes grillhez lett tervezve, így garantálja az illeszkedést és a tökéletes használati élményt.
Bármilyen ételt (legyen az hús, zöldség vagy akár egy egész hal) könnyedén megsüthet segítségével. A 50cm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BC-ACC-7459 sütőráccsal!</t>
        </is>
      </c>
    </row>
    <row r="187">
      <c r="A187" s="3" t="inlineStr">
        <is>
          <t>BC-ACC-7411</t>
        </is>
      </c>
      <c r="B187" s="2" t="inlineStr">
        <is>
          <t>Barbecook BC-ACC-7411 2db-os grill lap, 40cm átmérő</t>
        </is>
      </c>
      <c r="C187" s="1" t="n">
        <v>3390.0</v>
      </c>
      <c r="D187" s="7" t="n">
        <f>HYPERLINK("https://www.somogyi.hu/product/barbecook-bc-acc-7411-2db-os-grill-lap-40cm-atmero-bc-acc-7411-18828","https://www.somogyi.hu/product/barbecook-bc-acc-7411-2db-os-grill-lap-40cm-atmero-bc-acc-7411-18828")</f>
        <v>0.0</v>
      </c>
      <c r="E187" s="7" t="n">
        <f>HYPERLINK("https://www.somogyi.hu/data/img/product_main_images/small/18828.jpg","https://www.somogyi.hu/data/img/product_main_images/small/18828.jpg")</f>
        <v>0.0</v>
      </c>
      <c r="F187" s="2" t="inlineStr">
        <is>
          <t>5420059847893</t>
        </is>
      </c>
      <c r="G187" s="4" t="inlineStr">
        <is>
          <t>Gondolt már arra, hogy lehet legakadályozni grillezés közben, hogy a hús ne ragadjon a rácsra, és ne essen át rajta? A Barbecook BC-ACC-7411 grill lap pontosan ezt a problémát oldja meg, miközben tisztán is tartja a grillrácsot.
Ez a két darabos grill lap szett tökéletes kiegészítője minden grillpartinak. Mindössze 0,1 mm vastagságú, mégis rendkívül hatékonyan megakadályozza, hogy az ételek a rácsok közé csússzanak vagy hozzájuk ragadjanak. A 40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BC-ACC-7411 2db-os grill lapot, hogy a grillezés minden alkalommal zökkenőmentesen és tisztán menjen. Tegyen szert ezekre a praktikus kiegészítőkre, és élvezze a gondtalan grillezés minden előnyét!</t>
        </is>
      </c>
    </row>
    <row r="188">
      <c r="A188" s="3" t="inlineStr">
        <is>
          <t>BC-ACC-7443</t>
        </is>
      </c>
      <c r="B188" s="2" t="inlineStr">
        <is>
          <t>Barbecook BC-ACC-7443 Kamal kamado 60/XL öntöttvas rács szett, 2db félhold alakú</t>
        </is>
      </c>
      <c r="C188" s="1" t="n">
        <v>42990.0</v>
      </c>
      <c r="D188" s="7" t="n">
        <f>HYPERLINK("https://www.somogyi.hu/product/barbecook-bc-acc-7443-kamal-kamado-60-xl-ontottvas-racs-szett-2db-felhold-alaku-bc-acc-7443-18794","https://www.somogyi.hu/product/barbecook-bc-acc-7443-kamal-kamado-60-xl-ontottvas-racs-szett-2db-felhold-alaku-bc-acc-7443-18794")</f>
        <v>0.0</v>
      </c>
      <c r="E188" s="7" t="n">
        <f>HYPERLINK("https://www.somogyi.hu/data/img/product_main_images/small/18794.jpg","https://www.somogyi.hu/data/img/product_main_images/small/18794.jpg")</f>
        <v>0.0</v>
      </c>
      <c r="F188" s="2" t="inlineStr">
        <is>
          <t>5420059859605</t>
        </is>
      </c>
      <c r="G188" s="4" t="inlineStr">
        <is>
          <t>Szeretné, hogy a grillezett ételei minden oldalról tökéletesen és egyenletesen átsüljenek? A Barbecook BC-ACC-7443 Kamal kamado 60/XL öntöttvas rács szettje ezt a vágyát valóra váltja, biztosítva, hogy minden falat a lehető legfinomabb legyen.
Ez a kivételes minőségű öntöttvas rács szett speciálisan a Barbecook Kamal kamado 60/XL faszenes grillhez lett tervezve, így tökéletes illeszkedést és optimális hőeloszlást garantál. Az öntöttvas anyagának köszönhetően ezek a rácsok rendkívül tartósak és ideálisak a hő tárolására, ami lehetővé teszi, hogy az ételek egyenletesen átsüljenek és megőrizzék zamataikat.
Tegye grillezési élményét még különlegesebbé ezzel az öntöttvas rács szettel, amely nemcsak hogy javítja az ízeket és a textúrákat, de a grillezés folyamatát is könnyebbé és zökkenőmentesebbé teszi. Legyen szó steakről, zöldségekről vagy akár halról, ezek a rácsok biztosítják, hogy minden egyes alkalommal a lehető legjobb eredményt érje el.
Fedezze fel a Barbecook Kamal kamado 60/XL öntöttvas rács szettjének előnyeit, és élvezze a hosszantartó, egyenletes hőeloszlást, amely minden egyes grillezésnél tökéletes eredményt garantál.</t>
        </is>
      </c>
    </row>
    <row r="189">
      <c r="A189" s="3" t="inlineStr">
        <is>
          <t>BC-ACC-7441</t>
        </is>
      </c>
      <c r="B189" s="2" t="inlineStr">
        <is>
          <t>Barbecook BC-ACC-7441 Kamal kamado 60/XL sütőrendszer</t>
        </is>
      </c>
      <c r="C189" s="1" t="n">
        <v>75990.0</v>
      </c>
      <c r="D189" s="7" t="n">
        <f>HYPERLINK("https://www.somogyi.hu/product/barbecook-bc-acc-7441-kamal-kamado-60-xl-sutorendszer-bc-acc-7441-18793","https://www.somogyi.hu/product/barbecook-bc-acc-7441-kamal-kamado-60-xl-sutorendszer-bc-acc-7441-18793")</f>
        <v>0.0</v>
      </c>
      <c r="E189" s="7" t="n">
        <f>HYPERLINK("https://www.somogyi.hu/data/img/product_main_images/small/18793.jpg","https://www.somogyi.hu/data/img/product_main_images/small/18793.jpg")</f>
        <v>0.0</v>
      </c>
      <c r="F189" s="2" t="inlineStr">
        <is>
          <t>5420059859582</t>
        </is>
      </c>
      <c r="G189" s="4" t="inlineStr">
        <is>
          <t>Keres egy módszert, hogy a grillezés során a lehető legtökéletesebb hőeloszlást érje el? A Barbecook BC-ACC-7441 Kamal 60/XL sütőrendszerrel mostantól kétszintes grillezési lehetőséget biztosítunk, amely a hőt optimálisan osztja el, így a grillételek minden oldala tökéletesen átsül.
Ez a rendszer kifejezetten a Barbecook Kamal kamado 60/XL faszenes grillhez lett tervezve, ami lehetővé teszi, hogy az indirekt grillezési technikát alkalmazva, még finomabb és zamatosabb ételeket készíthessen. Az indirekt grillezés ideális választás nagyobb húsok, mint például egész csirkék vagy nagyobb húsadagok lassú, egyenletes sütéséhez, ahol a hő nem közvetlenül az étel alatt, hanem a grill belsejében kering.
A két szintű elrendezés nemcsak több helyet biztosít a grillezendő ételek számára, hanem lehetővé teszi, hogy különböző hőmérsékleten süssön egyszerre többféle ételt. Így párhuzamosan készítheti el a főételt és a köreteket is, maximalizálva ezzel a grillfelületet.
A Barbecook BC-ACC-7441 Kamal 60/XL sütőrendszerrel a grillezés művészete új dimenzióba lép. Tökéletes hőeloszlás, rugalmasság és az indirekt grillezés előnyei várják, hogy felfedezze őket. Változtassa grillezési élményét egyedülállóvá ezzel a kifinomult és innovatív sütőrendszerrel.</t>
        </is>
      </c>
    </row>
    <row r="190">
      <c r="A190" s="3" t="inlineStr">
        <is>
          <t>BC-ACC-7439</t>
        </is>
      </c>
      <c r="B190" s="2" t="inlineStr">
        <is>
          <t>Barbecook BC-ACC-7439 2db-os grill lap, 40x33cm</t>
        </is>
      </c>
      <c r="C190" s="1" t="n">
        <v>3990.0</v>
      </c>
      <c r="D190" s="7" t="n">
        <f>HYPERLINK("https://www.somogyi.hu/product/barbecook-bc-acc-7439-2db-os-grill-lap-40x33cm-bc-acc-7439-18792","https://www.somogyi.hu/product/barbecook-bc-acc-7439-2db-os-grill-lap-40x33cm-bc-acc-7439-18792")</f>
        <v>0.0</v>
      </c>
      <c r="E190" s="7" t="n">
        <f>HYPERLINK("https://www.somogyi.hu/data/img/product_main_images/small/18792.jpg","https://www.somogyi.hu/data/img/product_main_images/small/18792.jpg")</f>
        <v>0.0</v>
      </c>
      <c r="F190" s="2" t="inlineStr">
        <is>
          <t>5420059859469</t>
        </is>
      </c>
      <c r="G190" s="4" t="inlineStr">
        <is>
          <t>Gondolt már arra, hogy lehet legakadályozni grillezés közben, hogy a hús ne ragadjon a rácsra, és ne essen át rajta? A Barbecook BC-ACC-7439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40x33cm-es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BC-ACC-7439 2db-os grill lapot, hogy a grillezés minden alkalommal zökkenőmentesen és tisztán menjen. Tegyen szert ezekre a praktikus kiegészítőkre, és élvezze a gondtalan grillezés minden előnyét!</t>
        </is>
      </c>
    </row>
    <row r="191">
      <c r="A191" s="3" t="inlineStr">
        <is>
          <t>BC-ACC-7438</t>
        </is>
      </c>
      <c r="B191" s="2" t="inlineStr">
        <is>
          <t>Barbecook BC-ACC-7438 2db-os grill lap, 32cm átmérő</t>
        </is>
      </c>
      <c r="C191" s="1" t="n">
        <v>3990.0</v>
      </c>
      <c r="D191" s="7" t="n">
        <f>HYPERLINK("https://www.somogyi.hu/product/barbecook-bc-acc-7438-2db-os-grill-lap-32cm-atmero-bc-acc-7438-18791","https://www.somogyi.hu/product/barbecook-bc-acc-7438-2db-os-grill-lap-32cm-atmero-bc-acc-7438-18791")</f>
        <v>0.0</v>
      </c>
      <c r="E191" s="7" t="n">
        <f>HYPERLINK("https://www.somogyi.hu/data/img/product_main_images/small/18791.jpg","https://www.somogyi.hu/data/img/product_main_images/small/18791.jpg")</f>
        <v>0.0</v>
      </c>
      <c r="F191" s="2" t="inlineStr">
        <is>
          <t>5420059859452</t>
        </is>
      </c>
      <c r="G191" s="4" t="inlineStr">
        <is>
          <t>Gondolt már arra, hogy lehet legakadályozni grillezés közben, hogy a hús ne ragadjon a rácsra, és ne essen át rajta? A Barbecook BC-ACC-7438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32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BC-ACC-7438 2db-os grill lapot, hogy a grillezés minden alkalommal zökkenőmentesen és tisztán menjen. Tegyen szert ezekre a praktikus kiegészítőkre, és élvezze a gondtalan grillezés minden előnyét!</t>
        </is>
      </c>
    </row>
    <row r="192">
      <c r="A192" s="3" t="inlineStr">
        <is>
          <t>BC-ACC-7090</t>
        </is>
      </c>
      <c r="B192" s="2" t="inlineStr">
        <is>
          <t>Barbecook BC-ACC-7090 kolbászsütő grillrács, 8x51cm</t>
        </is>
      </c>
      <c r="C192" s="1" t="n">
        <v>2890.0</v>
      </c>
      <c r="D192" s="7" t="n">
        <f>HYPERLINK("https://www.somogyi.hu/product/barbecook-bc-acc-7090-kolbaszsuto-grillracs-8x51cm-bc-acc-7090-18788","https://www.somogyi.hu/product/barbecook-bc-acc-7090-kolbaszsuto-grillracs-8x51cm-bc-acc-7090-18788")</f>
        <v>0.0</v>
      </c>
      <c r="E192" s="7" t="n">
        <f>HYPERLINK("https://www.somogyi.hu/data/img/product_main_images/small/18788.jpg","https://www.somogyi.hu/data/img/product_main_images/small/18788.jpg")</f>
        <v>0.0</v>
      </c>
      <c r="F192" s="2" t="inlineStr">
        <is>
          <t>5400269240714</t>
        </is>
      </c>
      <c r="G192" s="4" t="inlineStr">
        <is>
          <t>Elege van a hagyományos grillrácsokból, mert soha nem sikerül a kolbászokat egyenletesen grillezni? A Barbecook BC-ACC-7090 kolbászsütő grillrácsot azok számára tervezték, akik szeretnének egyedi módon kolbászokat grillezni, anélkül, hogy azok a rácsok közé esnének vagy egyenetlenül sülnének meg.
Ez a speciális grillrács tökéletesen alkalmas négy kolbász egyidejű grillezésére, biztosítva, hogy minden egyes kolbász egyformán süljön meg, így tökéletes ízt és textúrát érhet el. A könnyen zárható rács kialakítása lehetővé teszi, hogy a kolbászok biztonságosan a helyükön maradjanak grillezés közben, megakadályozva, hogy a rácsok közé essenek.
A Barbecook BC-ACC-7090 nem csupán a kényelmet és az egyenletes sütési eredményt helyezi előtérbe, hanem a környezettudatosságot is. Az FSC®-minősítés biztosítja, hogy a termék gyártása során csak fenntartható forrásból származó faanyagokat használnak fel, tehát választásával Ön is hozzájárul a környezetvédelemhez.
Ez a kolbászsütő grillrács nem csak a grillezési élményt teszi egyszerűbbé és élvezetesebbé, de a takarítást is megkönnyíti, hiszen a zárható rácsnak köszönhetően kevesebb ételmaradék kerül közvetlenül a grillre, így az tisztántartása sokkal egyszerűbbé válik.
Fedezze fel a Barbecook BC-ACC-7090 kolbászsütő grillrács nyújtotta új lehetőségeket, és élvezze a tökéletesen megsült kolbászok ízét a következő grillezésnél!</t>
        </is>
      </c>
    </row>
    <row r="193">
      <c r="A193" s="3" t="inlineStr">
        <is>
          <t>BC-ACC-7104</t>
        </is>
      </c>
      <c r="B193" s="2" t="inlineStr">
        <is>
          <t>Barbecook BC-ACC-7104 hamburgersütő grillrács, krómozott, fa nyél, 100% FSC, 6db-os</t>
        </is>
      </c>
      <c r="C193" s="1" t="n">
        <v>6290.0</v>
      </c>
      <c r="D193" s="7" t="n">
        <f>HYPERLINK("https://www.somogyi.hu/product/barbecook-bc-acc-7104-hamburgersuto-grillracs-kromozott-fa-nyel-100-fsc-6db-os-bc-acc-7104-18723","https://www.somogyi.hu/product/barbecook-bc-acc-7104-hamburgersuto-grillracs-kromozott-fa-nyel-100-fsc-6db-os-bc-acc-7104-18723")</f>
        <v>0.0</v>
      </c>
      <c r="E193" s="7" t="n">
        <f>HYPERLINK("https://www.somogyi.hu/data/img/product_main_images/small/18723.jpg","https://www.somogyi.hu/data/img/product_main_images/small/18723.jpg")</f>
        <v>0.0</v>
      </c>
      <c r="F193" s="2" t="inlineStr">
        <is>
          <t>5400269240738</t>
        </is>
      </c>
      <c r="G193" s="4" t="inlineStr">
        <is>
          <t>Szeretne tökéletes hamburgereket készíteni grillen? A Barbecook BC-ACC-7104 hamburgersütő grillrács lehet az, amire szüksége van. 
Ez a speciálisan tervezett rács ideális eszköz arra, hogy egyszerre hat húspogácsát egyenletesen meg tudjon sütni, így garantálva a tökéletes ízélményt minden egyes falatnál.
Az FSC® címkével ellátott, 35x3x52,5cm-es grillrács nem csak praktikus, hanem környezettudatos választás is. Mindenki szeret időnként egy szaftos hamburgert enni, ami ropogós zsemlébe van csomagolva, ízletes hozzávalókkal, mint a cheddar sajt és a hagyma. És mindez még finomabbá válik, ha a grillezést választjuk az elkészítés módjának. Vendégeket hív vagy az egész családnak szeretne hamburgert készíteni? Akkor használja a hamburgersütő grillrácsot, melynek segítségével egyszerre több húspogácsát is süthet, így időt spórolhat meg.
Szerezze be a Barbecook hamburgersütő grillrácsot, és készítsen ellenállhatatlan hamburgereket a következő kerti partira!</t>
        </is>
      </c>
    </row>
    <row r="194">
      <c r="A194" s="3" t="inlineStr">
        <is>
          <t>10-238-018</t>
        </is>
      </c>
      <c r="B194" s="2" t="inlineStr">
        <is>
          <t>Nava 10-238-018 BBQ Guru halsütő grillrács, 13x35 cm</t>
        </is>
      </c>
      <c r="C194" s="1" t="n">
        <v>1791.0</v>
      </c>
      <c r="D194" s="7" t="n">
        <f>HYPERLINK("https://www.somogyi.hu/product/nava-10-238-018-bbq-guru-halsuto-grillracs-13x35-cm-10-238-018-18672","https://www.somogyi.hu/product/nava-10-238-018-bbq-guru-halsuto-grillracs-13x35-cm-10-238-018-18672")</f>
        <v>0.0</v>
      </c>
      <c r="E194" s="7" t="n">
        <f>HYPERLINK("https://www.somogyi.hu/data/img/product_main_images/small/18672.jpg","https://www.somogyi.hu/data/img/product_main_images/small/18672.jpg")</f>
        <v>0.0</v>
      </c>
      <c r="F194" s="2" t="inlineStr">
        <is>
          <t>5205746152661</t>
        </is>
      </c>
      <c r="G194" s="4" t="inlineStr">
        <is>
          <t>Egy megoldást keres, amellyel egyszerűen és tökéletesen sütheti meg a halat a grillen? A Nava 10-238-018 BBQ Guru halsütő grillrács, dupla fémrácsos kialakítással, valódi segítségére lesz a BBQ alkalmak során. 
Ez a speciálisan tervezett grillrács, amely 13x35  cm-es felülettel és egyedi formával rendelkezik, tökéletesen illeszkedik a halak formájához, így biztosítva az egyszerű és biztonságos grillezést.
A tartós fémből készült, króm bevonattal ellátott grillrács károsodás elleni védelmet nyújt, míg az ergonomikus, hosszú fa nyél kényelmes használatot garantál még a legigényesebb grillezők számára is. Ez a magas minőségű grillrács elengedhetetlen eszköze minden olyan grillezőnek, aki a legjobb eredményeket szeretné elérni a grillen.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halsütő grillrács a tökéletes választás mindenki számára, aki szeretné profi szintre emelni a halgrillezés művészetét.</t>
        </is>
      </c>
    </row>
    <row r="195">
      <c r="A195" s="3" t="inlineStr">
        <is>
          <t>BC-ACC-7460</t>
        </is>
      </c>
      <c r="B195" s="2" t="inlineStr">
        <is>
          <t>Barbecook BC-ACC-7460 rozsdamentes acél sütőrács, 55x33,6cm</t>
        </is>
      </c>
      <c r="C195" s="1" t="n">
        <v>21290.0</v>
      </c>
      <c r="D195" s="7" t="n">
        <f>HYPERLINK("https://www.somogyi.hu/product/barbecook-bc-acc-7460-rozsdamentes-acel-sutoracs-55x33-6cm-bc-acc-7460-18797","https://www.somogyi.hu/product/barbecook-bc-acc-7460-rozsdamentes-acel-sutoracs-55x33-6cm-bc-acc-7460-18797")</f>
        <v>0.0</v>
      </c>
      <c r="E195" s="7" t="n">
        <f>HYPERLINK("https://www.somogyi.hu/data/img/product_main_images/small/18797.jpg","https://www.somogyi.hu/data/img/product_main_images/small/18797.jpg")</f>
        <v>0.0</v>
      </c>
      <c r="F195" s="2" t="inlineStr">
        <is>
          <t>5404035701706</t>
        </is>
      </c>
      <c r="G195" s="4" t="inlineStr">
        <is>
          <t>Szeretné fokozni a szabadtéri élményt grilljével? A Barbecook BC-ACC-7460 rozsdamentes acél sütőrács az, amire szüksége van! 
Ez a prémium minőségű sütőrács kifejezetten a Barbecook Loewy 55 és Arena modellekhez, valamint minden velük kompatibilis faszenes grillhez lett tervezve, így garantálja az illeszkedést és a tökéletes használati élményt.
Bármilyen ételt (legyen az hús, zöldség vagy akár egy egész hal) könnyedén megsüthet segítségével. A 55x33,6cm méretű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BC-ACC-7460 sütőráccsal!</t>
        </is>
      </c>
    </row>
    <row r="196">
      <c r="A196" s="6" t="inlineStr">
        <is>
          <t xml:space="preserve">      Grillezés / Grill kiegészítő / Tisztítószerek és eszközök</t>
        </is>
      </c>
      <c r="B196" s="6" t="inlineStr">
        <is>
          <t/>
        </is>
      </c>
      <c r="C196" s="6" t="inlineStr">
        <is>
          <t/>
        </is>
      </c>
      <c r="D196" s="6" t="inlineStr">
        <is>
          <t/>
        </is>
      </c>
      <c r="E196" s="6" t="inlineStr">
        <is>
          <t/>
        </is>
      </c>
      <c r="F196" s="6" t="inlineStr">
        <is>
          <t/>
        </is>
      </c>
      <c r="G196" s="6" t="inlineStr">
        <is>
          <t/>
        </is>
      </c>
    </row>
    <row r="197">
      <c r="A197" s="3" t="inlineStr">
        <is>
          <t>BC-ACC-7063</t>
        </is>
      </c>
      <c r="B197" s="2" t="inlineStr">
        <is>
          <t>Barbecook BC-ACC-7063 kétfejű grillkefe, réz fej, gumifa markolat</t>
        </is>
      </c>
      <c r="C197" s="1" t="n">
        <v>2490.0</v>
      </c>
      <c r="D197" s="7" t="n">
        <f>HYPERLINK("https://www.somogyi.hu/product/barbecook-bc-acc-7063-ketfeju-grillkefe-rez-fej-gumifa-markolat-bc-acc-7063-18727","https://www.somogyi.hu/product/barbecook-bc-acc-7063-ketfeju-grillkefe-rez-fej-gumifa-markolat-bc-acc-7063-18727")</f>
        <v>0.0</v>
      </c>
      <c r="E197" s="7" t="n">
        <f>HYPERLINK("https://www.somogyi.hu/data/img/product_main_images/small/18727.jpg","https://www.somogyi.hu/data/img/product_main_images/small/18727.jpg")</f>
        <v>0.0</v>
      </c>
      <c r="F197" s="2" t="inlineStr">
        <is>
          <t>5400269240578</t>
        </is>
      </c>
      <c r="G197" s="4" t="inlineStr">
        <is>
          <t>Zavarják a grillrácsra ragadt makacs szennyeződések? A Barbecook BC-ACC-7063 kétfejű grillkefe a tökéletes megoldás a grillrácsok gyors és hatékony tisztítására, így Ön több időt tölthet a grillezés élvezetével, és kevesebbet a takarítással.
Ez a speciális grillkefe két fejjel rendelkezik amelyek rézből készültek, és FSC® címkével ellátott gumifából készült nyélhez csatlakoznak, így kettős hatékonyságot nyújtva a grillrácsok tisztításában. A rézfej kiválóan alkalmas az odaégett maradványok eltávolítására anélkül, hogy károsítaná azokat.
A kefe méretei – 4,5x2x23cm – kompakt és könnyen kezelhető, biztosítva, hogy minden sarkot elérjen a tisztítás során. A kényelmes fogantyú tovább növeli a használati élményt, lehetővé téve a stabil és erőfeszítés nélküli tisztítást.
Szabaduljon meg gyorsan és hatékonyan a grillrácsokon lévő szennyeződésektől a Barbecook BC-ACC-7063 kétfejű grillkefével.</t>
        </is>
      </c>
    </row>
    <row r="198">
      <c r="A198" s="3" t="inlineStr">
        <is>
          <t>BC-ACC-7058</t>
        </is>
      </c>
      <c r="B198" s="2" t="inlineStr">
        <is>
          <t>Barbecook BC-ACC-7058 műanyag tisztító kefe, fekete</t>
        </is>
      </c>
      <c r="C198" s="1" t="n">
        <v>1790.0</v>
      </c>
      <c r="D198" s="7" t="n">
        <f>HYPERLINK("https://www.somogyi.hu/product/barbecook-bc-acc-7058-muanyag-tisztito-kefe-fekete-bc-acc-7058-18728","https://www.somogyi.hu/product/barbecook-bc-acc-7058-muanyag-tisztito-kefe-fekete-bc-acc-7058-18728")</f>
        <v>0.0</v>
      </c>
      <c r="E198" s="7" t="n">
        <f>HYPERLINK("https://www.somogyi.hu/data/img/product_main_images/small/18728.jpg","https://www.somogyi.hu/data/img/product_main_images/small/18728.jpg")</f>
        <v>0.0</v>
      </c>
      <c r="F198" s="2" t="inlineStr">
        <is>
          <t>5400269213114</t>
        </is>
      </c>
      <c r="G198" s="4" t="inlineStr">
        <is>
          <t>Hatékonyan, de gyorsan szeretné grillrácsát megtisztítani a szennyeződésektől? A Barbecook BC-ACC-7058 műanyag tisztító kefe a megoldás, amely egyszerűvé teszi a sütőrácsok tisztítását, így több ideje marad a grillezés élvezetére.
Ez a kiváló minőségű tisztítókefe nylonból készült tisztítórészével hatékonyan távolítja el az égett maradványokat és a zsírt, miközben az ergonomikus műanyag fogantyú kényelmes és biztos fogást nyújt. A kefe design-ja kifejezetten a grillrácsok formájához és szükségleteihez igazodik, lehetővé téve az alapos és gyors tisztítást.
A Barbecook BC-ACC-7058 műanyag tisztító kefe tökéletes választás mindenki számára, aki szereti a tiszta és karbantartott grillrácsokat, de nem szeretne órákat tölteni a tisztítással. Könnyen tisztítható és tartós anyagból készült, így hosszú távon is megbízható társa lesz a grillezési szezonok során.
Váltson a Barbecook BC-ACC-7058 műanyag tisztító kefére, és élvezze a gyors és erőfeszítés nélküli tisztítást minden egyes grillezés után.</t>
        </is>
      </c>
    </row>
    <row r="199">
      <c r="A199" s="3" t="inlineStr">
        <is>
          <t>BC-ACC-7067</t>
        </is>
      </c>
      <c r="B199" s="2" t="inlineStr">
        <is>
          <t>Barbecook BC-ACC-7067 hosszú spirálkefe, 52cm, fekete</t>
        </is>
      </c>
      <c r="C199" s="1" t="n">
        <v>3790.0</v>
      </c>
      <c r="D199" s="7" t="n">
        <f>HYPERLINK("https://www.somogyi.hu/product/barbecook-bc-acc-7067-hosszu-spiralkefe-52cm-fekete-bc-acc-7067-18738","https://www.somogyi.hu/product/barbecook-bc-acc-7067-hosszu-spiralkefe-52cm-fekete-bc-acc-7067-18738")</f>
        <v>0.0</v>
      </c>
      <c r="E199" s="7" t="n">
        <f>HYPERLINK("https://www.somogyi.hu/data/img/product_main_images/small/18738.jpg","https://www.somogyi.hu/data/img/product_main_images/small/18738.jpg")</f>
        <v>0.0</v>
      </c>
      <c r="F199" s="2" t="inlineStr">
        <is>
          <t>5400269231583</t>
        </is>
      </c>
      <c r="G199" s="4" t="inlineStr">
        <is>
          <t>Ön is meg szokott küzdeni grillsütője nehezen elérhető részeinek tisztításával? A Barbecook BC-ACC-7067 hosszú spirálkefe a tökéletes segítőtársa lehet ebben a feladatban, amelynek segítségével még a legnehezebben hozzáférhető helyek sem jelentenek többé problémát.
Ez a különleges tisztítóeszköz kifejezetten a grillsütők mélyen fekvő részeinek tisztítására lett tervezve. A hosszú nyéllel ellátott spirálkefe lehetővé teszi, hogy elérje a grillsütő minden zugát, így garantálva a sütő teljes körű tisztaságát. A 52x17x3cm-es méret biztosítja, hogy minden felületet alaposan meg tudjon tisztítani.
A kefe kialakítása optimalizálja a tisztítási erőfeszítéseket, így kevesebb időt kell töltenie a takarítással, és többet élvezheti a grillezés örömeit. A Barbecook BC-ACC-7067 nemcsak hatékony, de tartós is, így hosszú távon számíthat rá a grill karbantartásában.
Váltson a Barbecook BC-ACC-7067 hosszú spirálkefére, és tegye a grillsütő tisztítását egyszerűbbé és hatékonyabbá.</t>
        </is>
      </c>
    </row>
    <row r="200">
      <c r="A200" s="3" t="inlineStr">
        <is>
          <t>BC-ACC-7074</t>
        </is>
      </c>
      <c r="B200" s="2" t="inlineStr">
        <is>
          <t>Barbecook BC-ACC-7074 rézszálas fa grillkefe rozsdamentes acél kaparóval, 100% FSC, 31cm</t>
        </is>
      </c>
      <c r="C200" s="1" t="n">
        <v>3190.0</v>
      </c>
      <c r="D200" s="7" t="n">
        <f>HYPERLINK("https://www.somogyi.hu/product/barbecook-bc-acc-7074-rezszalas-fa-grillkefe-rozsdamentes-acel-kaparoval-100-fsc-31cm-bc-acc-7074-18729","https://www.somogyi.hu/product/barbecook-bc-acc-7074-rezszalas-fa-grillkefe-rozsdamentes-acel-kaparoval-100-fsc-31cm-bc-acc-7074-18729")</f>
        <v>0.0</v>
      </c>
      <c r="E200" s="7" t="n">
        <f>HYPERLINK("https://www.somogyi.hu/data/img/product_main_images/small/18729.jpg","https://www.somogyi.hu/data/img/product_main_images/small/18729.jpg")</f>
        <v>0.0</v>
      </c>
      <c r="F200" s="2" t="inlineStr">
        <is>
          <t>5400269240622</t>
        </is>
      </c>
      <c r="G200" s="4" t="inlineStr">
        <is>
          <t>Hogyan tarthatja grillrácsát makulátlanul tisztán a grillezési szezonban? A Barbecook BC-ACC-7074 rézszálas fa grillkefe a titok, amely a legmakacsabb szennyeződésekkel is megbirkózik, miközben óvja a grillrácsot.
Ez a kivételes minőségű grillkefe kombinálja a réz szálak tisztító hatékonyságát a rozsdamentes acél kaparó tartósságával, így biztosítva, hogy a grillrácsa minden használat után tökéletesen tiszta legyen. A gumifából készült fogantyú nemcsak, hogy kényelmes fogást biztosít, de FSC® címkével is ellátott, amely garantálja, hogy a termék fenntartható forrásból származik.
31cm hosszúságának köszönhetően a kefe ideális méretű a hatékony és kényelmes tisztításhoz, miközben a rozsdamentes acél kaparó lehetővé teszi, hogy még a legnehezebben eltávolítható maradványokat is könnyedén megszüntesse.
Használja a Barbecook BC-ACC-7074 rézszálas fa grillkefét rozsdamentes acél kaparóval, és biztosítsa grillrácsa hosszantartó tisztaságát és higiéniáját.</t>
        </is>
      </c>
    </row>
    <row r="201">
      <c r="A201" s="3" t="inlineStr">
        <is>
          <t>BC-ACC-7410</t>
        </is>
      </c>
      <c r="B201" s="2" t="inlineStr">
        <is>
          <t>Barbecook BC-ACC-7410 ápoló olaj, bambusz és fa termékekhez, 200ml</t>
        </is>
      </c>
      <c r="C201" s="1" t="n">
        <v>5790.0</v>
      </c>
      <c r="D201" s="7" t="n">
        <f>HYPERLINK("https://www.somogyi.hu/product/barbecook-bc-acc-7410-apolo-olaj-bambusz-es-fa-termekekhez-200ml-bc-acc-7410-18827","https://www.somogyi.hu/product/barbecook-bc-acc-7410-apolo-olaj-bambusz-es-fa-termekekhez-200ml-bc-acc-7410-18827")</f>
        <v>0.0</v>
      </c>
      <c r="E201" s="7" t="n">
        <f>HYPERLINK("https://www.somogyi.hu/data/img/product_main_images/small/18827.jpg","https://www.somogyi.hu/data/img/product_main_images/small/18827.jpg")</f>
        <v>0.0</v>
      </c>
      <c r="F201" s="2" t="inlineStr">
        <is>
          <t>5420059846407</t>
        </is>
      </c>
      <c r="G201" s="4" t="inlineStr">
        <is>
          <t>Megoldást keres, hogy bambuszból vagy egyéb fából készült vágódeszkái hosszú ideig megőrizzék szépségüket? A Barbecook BC-ACC-7410 ápoló olaj pontosan erre lett tervezve, hogy megvédje a bambuszt és a fát a kiszáradástól és a repedezéstől.
Ez a speciális, 200 ml-es ápoló olaj kifejezetten bambusz és fa felületek ápolására lett kifejlesztve. Szagtalan, íztelen és színtelen formula garantálja, hogy vágódeszkái természetes szépségét semmi sem zavarja meg. A Barbecook ápoló olaj rendszeres használata megakadályozza a kiszáradást és a repedezést, így hosszabb élettartamot biztosít a fának.
Alkalmazása egyszerű és gyors: csak vigyen fel egy vékony réteget a tisztított és száraz bambusz vagy fa felületre, majd hagyja megszáradni. Az olaj mélyen beszívódik, táplálja a fát és védőréteget képez a káros környezeti hatásokkal szemben.
Ne hagyja, hogy a bambusz vagy fa termékei károsodjanak! Használja a Barbecook BC-ACC-7410 ápoló olajat rendszeresen, és élvezze a hosszantartó szépséget.</t>
        </is>
      </c>
    </row>
    <row r="202">
      <c r="A202" s="3" t="inlineStr">
        <is>
          <t>BC-ACC-7065</t>
        </is>
      </c>
      <c r="B202" s="2" t="inlineStr">
        <is>
          <t>Barbecook BC-ACC-7065 3az1-ben nyeles grillrács tisztító, fekete</t>
        </is>
      </c>
      <c r="C202" s="1" t="n">
        <v>2690.0</v>
      </c>
      <c r="D202" s="7" t="n">
        <f>HYPERLINK("https://www.somogyi.hu/product/barbecook-bc-acc-7065-3az1-ben-nyeles-grillracs-tisztito-fekete-bc-acc-7065-18775","https://www.somogyi.hu/product/barbecook-bc-acc-7065-3az1-ben-nyeles-grillracs-tisztito-fekete-bc-acc-7065-18775")</f>
        <v>0.0</v>
      </c>
      <c r="E202" s="7" t="n">
        <f>HYPERLINK("https://www.somogyi.hu/data/img/product_main_images/small/18775.jpg","https://www.somogyi.hu/data/img/product_main_images/small/18775.jpg")</f>
        <v>0.0</v>
      </c>
      <c r="F202" s="2" t="inlineStr">
        <is>
          <t>5400269231576</t>
        </is>
      </c>
      <c r="G202" s="4" t="inlineStr">
        <is>
          <t>Szeretné egyszerűsíteni a grillrácsok tisztítását anélkül, hogy kompromisszumot kellene kötnie a hatékonyságban? A Barbecook BC-ACC-7065 3az1-ben nyeles grillrács tisztító az ideális eszköz, amely három fontos funkciót ötvöz egyetlen kényelmesen használható eszközben, így a grillrácsok tisztítása gyorsabb és alaposabb lesz, mint valaha.
Ez a különleges grillrács tisztító kefe, súroló és kaparó funkcióval rendelkezik, ami lehetővé teszi, hogy minden típusú szennyeződést eltávolítson a grillrácsról, a laza maradványoktól kezdve az odaégett ételmaradékokig. A hosszú nyéllel kialakított eszköz extra kényelmet és biztonságot nyújt használat közben.
Fekete színének köszönhetően elegáns megjelenést kölcsönöz, míg kompakt méreteivel – 3,5x2x42cm – biztosítja, hogy könnyen tárolható és szükség esetén mindig kéznél legyen.
Fedezze fel, milyen egyszerű lehet a grillrácsok tisztítása a Barbecook BC-ACC-7065 3az1-ben nyeles grillrács tisztítóval.</t>
        </is>
      </c>
    </row>
    <row r="203">
      <c r="A203" s="3" t="inlineStr">
        <is>
          <t>10-238-007</t>
        </is>
      </c>
      <c r="B203" s="2" t="inlineStr">
        <is>
          <t>Nava 10-238-007 BBQ Guru 3az1-ben nyeles grillrács tisztító</t>
        </is>
      </c>
      <c r="C203" s="1" t="n">
        <v>891.0</v>
      </c>
      <c r="D203" s="7" t="n">
        <f>HYPERLINK("https://www.somogyi.hu/product/nava-10-238-007-bbq-guru-3az1-ben-nyeles-grillracs-tisztito-10-238-007-18675","https://www.somogyi.hu/product/nava-10-238-007-bbq-guru-3az1-ben-nyeles-grillracs-tisztito-10-238-007-18675")</f>
        <v>0.0</v>
      </c>
      <c r="E203" s="7" t="n">
        <f>HYPERLINK("https://www.somogyi.hu/data/img/product_main_images/small/18675.jpg","https://www.somogyi.hu/data/img/product_main_images/small/18675.jpg")</f>
        <v>0.0</v>
      </c>
      <c r="F203" s="2" t="inlineStr">
        <is>
          <t>5205746153842</t>
        </is>
      </c>
      <c r="G203" s="4" t="inlineStr">
        <is>
          <t>Egy hatékony eszközt keres, amellyel tökéletesen megtisztíthatja a grillrácsot? A Nava 10-238-007 BBQ Guru 3az1-ben nyeles grillrács tisztítóval rendkívül egyszerűvé és hatékonnyá válik a grillrácsok tisztítása. 
Ez az elengedhetetlen eszköz egy rendkívül tartós fémsörtés kefét, egy kemény szivacsot a hátsó részen - kifejezetten fémből készült grillrácsok és rácsok számára -, valamint egy fémspatulát a legmakacsabb zsírok eltávolítására kombinál egyetlen praktikus tisztítóeszközben. A tökéletes megoldás a grillrács tisztítására, így minden alkalommal egészséges BBQ-t garantál!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A Nava BBQ Guru 3az1-ben nyeles grillrács tisztítóval a grilltisztítás sosem volt egyszerűbb.</t>
        </is>
      </c>
    </row>
    <row r="204">
      <c r="A204" s="3" t="inlineStr">
        <is>
          <t>BC-ACC-7027</t>
        </is>
      </c>
      <c r="B204" s="2" t="inlineStr">
        <is>
          <t>Barbecook BC-ACC-7027 army stílusú kétfunkciós tisztítókefe, rozsdamentes acél, khaki zöld nyél</t>
        </is>
      </c>
      <c r="C204" s="1" t="n">
        <v>6690.0</v>
      </c>
      <c r="D204" s="7" t="n">
        <f>HYPERLINK("https://www.somogyi.hu/product/barbecook-bc-acc-7027-army-stilusu-ketfunkcios-tisztitokefe-rozsdamentes-acel-khaki-zold-nyel-bc-acc-7027-18822","https://www.somogyi.hu/product/barbecook-bc-acc-7027-army-stilusu-ketfunkcios-tisztitokefe-rozsdamentes-acel-khaki-zold-nyel-bc-acc-7027-18822")</f>
        <v>0.0</v>
      </c>
      <c r="E204" s="7" t="n">
        <f>HYPERLINK("https://www.somogyi.hu/data/img/product_main_images/small/18822.jpg","https://www.somogyi.hu/data/img/product_main_images/small/18822.jpg")</f>
        <v>0.0</v>
      </c>
      <c r="F204" s="2" t="inlineStr">
        <is>
          <t>5400269202927</t>
        </is>
      </c>
      <c r="G204" s="4" t="inlineStr">
        <is>
          <t>Keresi a tökéletes eszközt, ami megbirkózik a grillezés utáni legnehezebb feladattal, a tisztítással? A Barbecook BC-ACC-7027 army stílusú kétfunkciós tisztítókefe a grillrácsok tisztításának mestere, mely egyedülálló katonai stílusban és praktikus kialakításban érkezik.
A khaki zöld fogantyú nemcsak kényelmes fogást biztosít, hanem egyedi megjelenést is kölcsönöz az eszköznek. A kétfunkciós tisztítókefe - amely egyesíti a súroló és kaparó funkciókat - hatékonyan távolítja el az odaégett maradványokat és zsírt a grillrácsról, így a grillt gyorsan és alaposan visszaállíthatja eredeti állapotába. A rozsdamentes acélból készült tisztítófej garantálja a hosszú távú tartósságot, míg a könnyen tisztítható design biztosítja, hogy a kefe mindig készen álljon a következő használatra.
A termék méretei – 6x3x38cm – ideálisak ahhoz, hogy minden zugot elérjen a grillen, anélkül, hogy kompromisszumot kellene kötnie a kényelem terén.
Válassza a Barbecook BC-ACC-7027 army stílusú kétfunkciós tisztítókefét, és tartsa grilljét makulátlan állapotban könnyedén és hatékonyan.</t>
        </is>
      </c>
    </row>
    <row r="205">
      <c r="A205" s="3" t="inlineStr">
        <is>
          <t>BC-ACC-7210</t>
        </is>
      </c>
      <c r="B205" s="2" t="inlineStr">
        <is>
          <t>Barbecook BC-ACC-7210 grilltisztító spray, 500ml</t>
        </is>
      </c>
      <c r="C205" s="1" t="n">
        <v>7390.0</v>
      </c>
      <c r="D205" s="7" t="n">
        <f>HYPERLINK("https://www.somogyi.hu/product/barbecook-bc-acc-7210-grilltisztito-spray-500ml-bc-acc-7210-18818","https://www.somogyi.hu/product/barbecook-bc-acc-7210-grilltisztito-spray-500ml-bc-acc-7210-18818")</f>
        <v>0.0</v>
      </c>
      <c r="E205" s="7" t="n">
        <f>HYPERLINK("https://www.somogyi.hu/data/img/product_main_images/small/18818.jpg","https://www.somogyi.hu/data/img/product_main_images/small/18818.jpg")</f>
        <v>0.0</v>
      </c>
      <c r="F205" s="2" t="inlineStr">
        <is>
          <t>5420059864951</t>
        </is>
      </c>
      <c r="G205" s="4" t="inlineStr">
        <is>
          <t>Éppen most fejezte be a grillezést? Itt az ideje, hogy áttérjen a Barbecook eszközének tisztítására! 
Egy alapos karbantartás elengedhetetlen ahhoz, hogy grillje sokáig megőrizze kiváló állapotát. E célból használja a Barbecook BC-ACC-7210 grilltisztító spray-t, ami rendkívül hatékony a főzőrácsra tapadt vagy égett zsír eltávolításában. Vigyen fel a tisztítandó felületre a tisztítószerből, majd egy szivacs segítségével távolítsa el a zsíros szennyeződést. A spray praktikus adagolóval van ellátva, így használata rendkívül egyszerű. További előnye, hogy használható a grillezés során használt kiegészítők tisztítására is.
Fordítson időt a grill és grill eszközei karbantartására, hogy azok sokáig szolgálhassák Önt eredeti állapotukban. Használja a Barbecook BC-ACC-7210 grilltisztító spray-t, hogy időt és fáradtságot takaríthasson meg.</t>
        </is>
      </c>
    </row>
    <row r="206">
      <c r="A206" s="3" t="inlineStr">
        <is>
          <t>10-238-011</t>
        </is>
      </c>
      <c r="B206" s="2" t="inlineStr">
        <is>
          <t>Nava 10-238-011 BBQ Guru 3az1-ben grillrács tisztító kefe</t>
        </is>
      </c>
      <c r="C206" s="1" t="n">
        <v>891.0</v>
      </c>
      <c r="D206" s="7" t="n">
        <f>HYPERLINK("https://www.somogyi.hu/product/nava-10-238-011-bbq-guru-3az1-ben-grillracs-tisztito-kefe-10-238-011-18676","https://www.somogyi.hu/product/nava-10-238-011-bbq-guru-3az1-ben-grillracs-tisztito-kefe-10-238-011-18676")</f>
        <v>0.0</v>
      </c>
      <c r="E206" s="7" t="n">
        <f>HYPERLINK("https://www.somogyi.hu/data/img/product_main_images/small/18676.jpg","https://www.somogyi.hu/data/img/product_main_images/small/18676.jpg")</f>
        <v>0.0</v>
      </c>
      <c r="F206" s="2" t="inlineStr">
        <is>
          <t>5205746152883</t>
        </is>
      </c>
      <c r="G206" s="4" t="inlineStr">
        <is>
          <t>Keresi a tökéletes eszközt a grillrács alapos tisztításához? A Nava 10-238-011 BBQ Guru 3az1-ben grillrács tisztító kefe az elengedhetetlen segítség minden BBQ szerető számára, aki tiszta és higiénikus grillezőfelületre vágyik. 
Ez a különleges eszköz egy rendkívül tartós fémsörtés kefét, egy kemény szivacsot a hátlapon – kifejezetten fém grillrácsokhoz tervezve – és egy fémspatulát ötvöz, hogy semmi se maradjon ki a tisztításból. A kefe különleges formája és ergonomikus fogantyúja lehetővé teszi, hogy minden nehezen elérhető részt alaposan megtisztíthasson, így válik igazán nélkülözhetetlenné grillezési rituáléi során. A tökéletes eszköz grillrácsa tisztításához, így minden alkalommal egészséges és ízletes BBQ-t garantálhat.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Fedezze fel, mennyire egyszerű lehet a grillrácsok tisztántartása a Nava BBQ Guru 3az1-ben grillrács tisztító kefével.</t>
        </is>
      </c>
    </row>
    <row r="207">
      <c r="A207" s="6" t="inlineStr">
        <is>
          <t xml:space="preserve">      Grillezés / Grill kiegészítő / Füstölő eszközök</t>
        </is>
      </c>
      <c r="B207" s="6" t="inlineStr">
        <is>
          <t/>
        </is>
      </c>
      <c r="C207" s="6" t="inlineStr">
        <is>
          <t/>
        </is>
      </c>
      <c r="D207" s="6" t="inlineStr">
        <is>
          <t/>
        </is>
      </c>
      <c r="E207" s="6" t="inlineStr">
        <is>
          <t/>
        </is>
      </c>
      <c r="F207" s="6" t="inlineStr">
        <is>
          <t/>
        </is>
      </c>
      <c r="G207" s="6" t="inlineStr">
        <is>
          <t/>
        </is>
      </c>
    </row>
    <row r="208">
      <c r="A208" s="3" t="inlineStr">
        <is>
          <t>BC-SMO-5021</t>
        </is>
      </c>
      <c r="B208" s="2" t="inlineStr">
        <is>
          <t>Barbecook BC-SMO-5021 hidegfüst generátor, hidegfüstöléshez, 18x18x5cm</t>
        </is>
      </c>
      <c r="C208" s="1" t="n">
        <v>12090.0</v>
      </c>
      <c r="D208" s="7" t="n">
        <f>HYPERLINK("https://www.somogyi.hu/product/barbecook-bc-smo-5021-hidegfust-generator-hidegfustoleshez-18x18x5cm-bc-smo-5021-18773","https://www.somogyi.hu/product/barbecook-bc-smo-5021-hidegfust-generator-hidegfustoleshez-18x18x5cm-bc-smo-5021-18773")</f>
        <v>0.0</v>
      </c>
      <c r="E208" s="7" t="n">
        <f>HYPERLINK("https://www.somogyi.hu/data/img/product_main_images/small/18773.jpg","https://www.somogyi.hu/data/img/product_main_images/small/18773.jpg")</f>
        <v>0.0</v>
      </c>
      <c r="F208" s="2" t="inlineStr">
        <is>
          <t>5420059846643</t>
        </is>
      </c>
      <c r="G208" s="4" t="inlineStr">
        <is>
          <t>Szeretne különleges ízeket varázsolni a konyhájába? Fedezze fel a Barbecook BC-SMO-5021 hidegfüst generátor által kínált végtelen lehetőségeket, amely a finom füstölt ízek mestere. 
Ez az eszköz kifejezetten azok számára készült, akik szeretnék otthonukban is elkészíteni a professzionális füstölt ételeket, mint például a lazacot, a tenger gyümölcseit vagy akár a marha- és sertéshúst. A hidegfüstölési technikával, amely 20-25°C közötti hőmérsékleten történik, ez a generátor akár 13 órán át képes füstölni, biztosítva ezzel, hogy ételei mélyen átvegyék a füst ízét anélkül, hogy elveszítenék nedvességtartalmukat vagy állagukat. Az 18x18x5 cm méretű generátor tökéletes méret, könnyen feltölthető, és kiválóan használható a Barbecook BC-SMO-5017 Oskar S zománcozott füstölővel együtt, maximális ízélményt garantálva.
Készítsen lenyűgöző ízekkel teli ételeket a Barbecook BC-SMO-5021 hidegfüst generátorral, amely új dimenzióba helyezi a húsfüstölést és a füstölt ételek készítését.</t>
        </is>
      </c>
    </row>
    <row r="209">
      <c r="A209" s="3" t="inlineStr">
        <is>
          <t>BC-SMO-5019</t>
        </is>
      </c>
      <c r="B209" s="2" t="inlineStr">
        <is>
          <t>Barbecook BC-SMO-5019 füstölő doboz</t>
        </is>
      </c>
      <c r="C209" s="1" t="n">
        <v>13390.0</v>
      </c>
      <c r="D209" s="7" t="n">
        <f>HYPERLINK("https://www.somogyi.hu/product/barbecook-bc-smo-5019-fustolo-doboz-bc-smo-5019-18845","https://www.somogyi.hu/product/barbecook-bc-smo-5019-fustolo-doboz-bc-smo-5019-18845")</f>
        <v>0.0</v>
      </c>
      <c r="E209" s="7" t="n">
        <f>HYPERLINK("https://www.somogyi.hu/data/img/product_main_images/small/18845.jpg","https://www.somogyi.hu/data/img/product_main_images/small/18845.jpg")</f>
        <v>0.0</v>
      </c>
      <c r="F209" s="2" t="inlineStr">
        <is>
          <t>5400269240509</t>
        </is>
      </c>
      <c r="G209" s="4" t="inlineStr">
        <is>
          <t>Szereti a füstölt ízeket, de még nem szeretne egy komplett füstölőbe beruházni? Akkor a Barbecook BC-SMO-5019 füstölő doboz pontosan Önnek való! 
A füstölő doboz egy fém, téglalap alakú tároló amelynek fedelén több lyuk található. A dobozt füstölő chipsekkel töltheti meg, és a grillsütőjébe helyezheti. A füst ízének körforgása révén igazi ízbombákat készíthet!
Hogyan működik? A füstölő dobozt olyan grillsütővel használjuk együtt, amelynek fedele van. A fedél biztosítja, hogy a füst ne szökjön el, hanem a grillsütő belsejében keringjen, és füstös ízt kölcsönözzön az ételeknek. Ezt indirekt grillezési technikával érik el. Hogyan működik pontosan? Először is válassza ki, milyen füst ízt szeretne adni az alapanyagoknak. Ez attól függ, milyen ételt készít a grillen. Ha például halat készít, a citromos füstölő chips az ideális választás. Ha viszont egy finom csirkét készít, válasszon tölgy- vagy almás füstölő chipset. Fontos, hogy a füstölő chipseket először áztassa vízben, mielőtt a füstölő dobozba helyezi őket. Ha ezt nem teszi meg, a füst keserű ízű lehet. Mindig ügyeljen arra, hogy a füstölő chipsek jól lecsepegjenek. Ha túl nedves inkább gőzöl, mint füstöl. A grillsütő hője miatt a füstölő dobozban lévő fa körülbelül 10-20 perc után parázslani kezd, és füst keletkezik. Ez a füst áthalad a fedél lyukain, és elterjed a grillsütő belsejében. A füst lassan átjárja a grillen lévő különböző alapanyagokat. Soha ne helyezze az alapanyagokat közvetlenül a füstölő dobozra. Ha az ételeket hosszú ideig kell indirekten grillezni a sütőben, időközben újratöltheti a füstölő dobozt füstölő chipsekkel. Ez biztosítja folyamatosan a füst fejlődését.
A füstölő dobozt a Barbecook Spring, Siesta és Stella modellekkel együtt tudja használni. Ezek a gázgrillek mind rendelkeznek egy külön erre a célra kialakított hellyel a bal oldali rács alatt, ahová a füstölő dobozt helyezheti.
Miért elégedne meg csupán azzal, hogy ételeit grillezi? Adjon az elkészült finomságoknak egy csipetnyi fondorlatot a Barbecook füstölő dobozának segítségével.</t>
        </is>
      </c>
    </row>
    <row r="210">
      <c r="A210" s="3" t="inlineStr">
        <is>
          <t>BC-SMO-5013</t>
        </is>
      </c>
      <c r="B210" s="2" t="inlineStr">
        <is>
          <t>Barbecook BC-SMO-5013 2db-os égerfa füstölő szett, 30x14x0,4cm</t>
        </is>
      </c>
      <c r="C210" s="1" t="n">
        <v>8490.0</v>
      </c>
      <c r="D210" s="7" t="n">
        <f>HYPERLINK("https://www.somogyi.hu/product/barbecook-bc-smo-5013-2db-os-egerfa-fustolo-szett-30x14x0-4cm-bc-smo-5013-18844","https://www.somogyi.hu/product/barbecook-bc-smo-5013-2db-os-egerfa-fustolo-szett-30x14x0-4cm-bc-smo-5013-18844")</f>
        <v>0.0</v>
      </c>
      <c r="E210" s="7" t="n">
        <f>HYPERLINK("https://www.somogyi.hu/data/img/product_main_images/small/18844.jpg","https://www.somogyi.hu/data/img/product_main_images/small/18844.jpg")</f>
        <v>0.0</v>
      </c>
      <c r="F210" s="2" t="inlineStr">
        <is>
          <t>5400269209476</t>
        </is>
      </c>
      <c r="G210" s="4" t="inlineStr">
        <is>
          <t>Készen áll egy új szintre emelni a grillezési élményt? Fedezze fel a Barbecook BC-SMO-5013 2db-os égerfa füstölő szettet, amely az enyhe, de karakteres füstös ízt varázsolja ételeinek.
Legyen szó lazacról, tenger gyümölcseiről, marha- vagy sertéshúsról, ez a készlet garantáltan gazdagítja a grillezett fogások ízvilágát.
A Barbecook égerfa füstölő deszkái kiválóan alkalmasak arra, hogy a grillezés során egyedi, finom füstös ízt adjanak a húsnak és tengeri herkentyűknek egyaránt. Az égerfa különlegessége, hogy enyhe, de jól érzékelhető füstaromát kölcsönöz, amely nem nyomja el az alapanyagok természetes ízét, hanem harmonikusan kiegészíti azt.
A szett tartalma két darab, minőségi égerfa deszka, melyek méretei ideálisak a különböző ételek füstöléséhez. Minden deszka mérete 30x14x0,4 cm, tökéletes méret a legtöbb grillrácsra illeszkedve. Használata rendkívül egyszerű: csak áztassa be a deszkákat vízben néhány órára, majd helyezze őket a grillre az előkészített étellel együtt. A deszkák lassan és egyenletesen bocsátják ki a füstöt, így az étel teljes sütési ideje alatt ízesíti azokat.
Az égerfa füstölő deszkák használata nem csak a húsok és tengeri finomságok ízét teszi felejthetetlenné, hanem egy új szintre emeli a grillezési élményt is. Legyen Ön a következő kerti partik mesterszakácsa, és kápráztassa el vendégeit az égerfa füstölő deszkák segítségével készült ízletes, füstölt fogásokkal.
Tegyen egy próbát a Barbecook BC-SMO-5013 2db-os égerfa füstölő szettel, és fedezze fel, milyen könnyű lenyűgöző ízeket varázsolni a szabadban.</t>
        </is>
      </c>
    </row>
    <row r="211">
      <c r="A211" s="3" t="inlineStr">
        <is>
          <t>BC-SMO-7422</t>
        </is>
      </c>
      <c r="B211" s="2" t="inlineStr">
        <is>
          <t>Barbecook BC-SMO-7422 hidegfüst generátor induló szett</t>
        </is>
      </c>
      <c r="C211" s="1" t="n">
        <v>16590.0</v>
      </c>
      <c r="D211" s="7" t="n">
        <f>HYPERLINK("https://www.somogyi.hu/product/barbecook-bc-smo-7422-hidegfust-generator-indulo-szett-bc-smo-7422-18784","https://www.somogyi.hu/product/barbecook-bc-smo-7422-hidegfust-generator-indulo-szett-bc-smo-7422-18784")</f>
        <v>0.0</v>
      </c>
      <c r="E211" s="7" t="n">
        <f>HYPERLINK("https://www.somogyi.hu/data/img/product_main_images/small/18784.jpg","https://www.somogyi.hu/data/img/product_main_images/small/18784.jpg")</f>
        <v>0.0</v>
      </c>
      <c r="F211" s="2" t="inlineStr">
        <is>
          <t>5420059857298</t>
        </is>
      </c>
      <c r="G211" s="4" t="inlineStr">
        <is>
          <t>Szeretne különleges ízekkel kísérletezni otthoni grillezés során? A Barbecook BC-SMO-7422 hidegfüst generátor induló szettjével most könnyedén elhozhatja a finom füstölt ízeket közvetlenül az otthoni konyhájában vagy a kertjében. 
Ez az induló szett minden szükséges eszközt és hozzávalót tartalmaz, hogy bárki képes legyen hidegfüstölési technikát alkalmazni, akár profiként.
A szett tartalmaz egy hidegfüst generátort és három különböző típusú füstölőport: olíva, whisky, és tölgy, amelyek mindegyike különleges és egyedi ízt kölcsönöz az ételeknek. Akár lazacot, sajtot, húst vagy zöldségeket szeretne füstölni, ezekkel az ízekkel biztosan emlékezetes ételeket készíthet. A készlet egy recepteket tartalmazó füzetet is magában foglal, amely segít az első lépésektől kezdve a haladó technikákig eljutni a hidegfüstölés világában.
A szett tökéletesen kompatibilis a Barbecook BC-SMO-5017 Oskar S zománcozott füstölővel.
Tegye a grillezést izgalmasabbá a Barbecook BC-SMO-7422 hidegfüst generátor induló szettel, és fedezze fel az otthoni füstölés örömeit.</t>
        </is>
      </c>
    </row>
    <row r="212">
      <c r="A212" s="6" t="inlineStr">
        <is>
          <t xml:space="preserve">   Háztartási gép, eszköz / Aprító</t>
        </is>
      </c>
      <c r="B212" s="6" t="inlineStr">
        <is>
          <t/>
        </is>
      </c>
      <c r="C212" s="6" t="inlineStr">
        <is>
          <t/>
        </is>
      </c>
      <c r="D212" s="6" t="inlineStr">
        <is>
          <t/>
        </is>
      </c>
      <c r="E212" s="6" t="inlineStr">
        <is>
          <t/>
        </is>
      </c>
      <c r="F212" s="6" t="inlineStr">
        <is>
          <t/>
        </is>
      </c>
      <c r="G212" s="6" t="inlineStr">
        <is>
          <t/>
        </is>
      </c>
    </row>
    <row r="213">
      <c r="A213" s="3" t="inlineStr">
        <is>
          <t>S501GW</t>
        </is>
      </c>
      <c r="B213" s="2" t="inlineStr">
        <is>
          <t>Gorenje aprító, 500 W</t>
        </is>
      </c>
      <c r="C213" s="1" t="n">
        <v>11490.0</v>
      </c>
      <c r="D213" s="7" t="n">
        <f>HYPERLINK("https://www.somogyi.hu/product/gorenje-aprito-500-w-s501gw-18297","https://www.somogyi.hu/product/gorenje-aprito-500-w-s501gw-18297")</f>
        <v>0.0</v>
      </c>
      <c r="E213" s="7" t="n">
        <f>HYPERLINK("https://www.somogyi.hu/data/img/product_main_images/small/18297.jpg","https://www.somogyi.hu/data/img/product_main_images/small/18297.jpg")</f>
        <v>0.0</v>
      </c>
      <c r="F213" s="2" t="inlineStr">
        <is>
          <t>3838782606762</t>
        </is>
      </c>
      <c r="G213" s="4" t="inlineStr">
        <is>
          <t xml:space="preserve"> • teljesítmény: 500 W 
 • ON/OFF gomb 
 • kiváló minőségű rozsdamentes acél kettős pengerendszer 
 • mérőskálázott kehely 
 • mosogatógépben mosható 
 • fehér</t>
        </is>
      </c>
    </row>
    <row r="214">
      <c r="A214" s="3" t="inlineStr">
        <is>
          <t>HG AP 13</t>
        </is>
      </c>
      <c r="B214" s="2" t="inlineStr">
        <is>
          <t>Home HG AP 13 aprító, teljesítmény 320 W, 1 literes üvegtál, rozsdamentes kések</t>
        </is>
      </c>
      <c r="C214" s="1" t="n">
        <v>11390.0</v>
      </c>
      <c r="D214" s="7" t="n">
        <f>HYPERLINK("https://www.somogyi.hu/product/home-hg-ap-13-aprito-teljesitmeny-320-w-1-literes-uvegtal-rozsdamentes-kesek-hg-ap-13-15239","https://www.somogyi.hu/product/home-hg-ap-13-aprito-teljesitmeny-320-w-1-literes-uvegtal-rozsdamentes-kesek-hg-ap-13-15239")</f>
        <v>0.0</v>
      </c>
      <c r="E214" s="7" t="n">
        <f>HYPERLINK("https://www.somogyi.hu/data/img/product_main_images/small/15239.jpg","https://www.somogyi.hu/data/img/product_main_images/small/15239.jpg")</f>
        <v>0.0</v>
      </c>
      <c r="F214" s="2" t="inlineStr">
        <is>
          <t>5999084932732</t>
        </is>
      </c>
      <c r="G214" s="4" t="inlineStr">
        <is>
          <t>Spóroljon időt és vásároljon az otthonába egy aprítót! A HG AP 13 segítségével a zöldségek, gyümölcsök és egyéb ételek könnyedén, pillanatok alatt felapríthatók. A készülék rendkívül könnyen használható. Az 1 literes üvegtálba kerülnek az aprítandó ételek, míg a munka nagy részét a rozsdamentes kések végzik el. A termék tisztítása rendkívül gyorsan és könnyedén megoldható. Válassza a minőségi termékeket és rendeljen webáruházunkból!</t>
        </is>
      </c>
    </row>
    <row r="215">
      <c r="A215" s="6" t="inlineStr">
        <is>
          <t xml:space="preserve">   Háztartási gép, eszköz / Aszaló</t>
        </is>
      </c>
      <c r="B215" s="6" t="inlineStr">
        <is>
          <t/>
        </is>
      </c>
      <c r="C215" s="6" t="inlineStr">
        <is>
          <t/>
        </is>
      </c>
      <c r="D215" s="6" t="inlineStr">
        <is>
          <t/>
        </is>
      </c>
      <c r="E215" s="6" t="inlineStr">
        <is>
          <t/>
        </is>
      </c>
      <c r="F215" s="6" t="inlineStr">
        <is>
          <t/>
        </is>
      </c>
      <c r="G215" s="6" t="inlineStr">
        <is>
          <t/>
        </is>
      </c>
    </row>
    <row r="216">
      <c r="A216" s="3" t="inlineStr">
        <is>
          <t>HG ASZ 5</t>
        </is>
      </c>
      <c r="B216" s="2" t="inlineStr">
        <is>
          <t>Home HG ASZ 5 aszaló, 35-70°C között állítható hőmérséklet, 5 tálca, töltőtömeg 3,5 kg, 250 W, fehér</t>
        </is>
      </c>
      <c r="C216" s="1" t="n">
        <v>25890.0</v>
      </c>
      <c r="D216" s="7" t="n">
        <f>HYPERLINK("https://www.somogyi.hu/product/home-hg-asz-5-aszalo-35-70-c-kozott-allithato-homerseklet-5-talca-toltotomeg-3-5-kg-250-w-feher-hg-asz-5-18054","https://www.somogyi.hu/product/home-hg-asz-5-aszalo-35-70-c-kozott-allithato-homerseklet-5-talca-toltotomeg-3-5-kg-250-w-feher-hg-asz-5-18054")</f>
        <v>0.0</v>
      </c>
      <c r="E216" s="7" t="n">
        <f>HYPERLINK("https://www.somogyi.hu/data/img/product_main_images/small/18054.jpg","https://www.somogyi.hu/data/img/product_main_images/small/18054.jpg")</f>
        <v>0.0</v>
      </c>
      <c r="F216" s="2" t="inlineStr">
        <is>
          <t>5999084960766</t>
        </is>
      </c>
      <c r="G216" s="4" t="inlineStr">
        <is>
          <t>A HG ASZ 5 aszaló tökéletes választás azok számára, akik szeretnék étrendjüket feldobni.
Termékünk 35-70°C között állítható hőmérsékletével lehetővé teszi többek között a gyümölcsök, zöldségek, zöldfűszerek, magvak lassú, alacsony hőmérsékletű aszalását, így azok íze, aroma- és tápértéke is megmarad.
Az aszaló 5 db egymásra helyezhető tálcával rendelkezik, ami akár 3,5 kg élelmiszer egyszerre történő szárítására is alkalmas. Ez ideális megoldás nagyobb mennyiségű étel előkészítéséhez vagy tartósításához. Tökéletes belső légáramlása egyenletes hőeloszlást biztosít, így a szárítási folyamat minden része egyenletesen zajlik. Az aszaló működését jelző LED világítás segíti a használatot.
Az aszaló teljesítménye 230 V~ / 50 Hz / 250W. Válassza a HG ASZ 5-öt, és élvezze a finom, egészséges ételeket!</t>
        </is>
      </c>
    </row>
    <row r="217">
      <c r="A217" s="6" t="inlineStr">
        <is>
          <t xml:space="preserve">   Háztartási gép, eszköz / Fóliahegesztő</t>
        </is>
      </c>
      <c r="B217" s="6" t="inlineStr">
        <is>
          <t/>
        </is>
      </c>
      <c r="C217" s="6" t="inlineStr">
        <is>
          <t/>
        </is>
      </c>
      <c r="D217" s="6" t="inlineStr">
        <is>
          <t/>
        </is>
      </c>
      <c r="E217" s="6" t="inlineStr">
        <is>
          <t/>
        </is>
      </c>
      <c r="F217" s="6" t="inlineStr">
        <is>
          <t/>
        </is>
      </c>
      <c r="G217" s="6" t="inlineStr">
        <is>
          <t/>
        </is>
      </c>
    </row>
    <row r="218">
      <c r="A218" s="3" t="inlineStr">
        <is>
          <t>VB12/55</t>
        </is>
      </c>
      <c r="B218" s="2" t="inlineStr">
        <is>
          <t>Gorenje zacskó vákuumcsomagoló géphez</t>
        </is>
      </c>
      <c r="C218" s="1" t="n">
        <v>3790.0</v>
      </c>
      <c r="D218" s="7" t="n">
        <f>HYPERLINK("https://www.somogyi.hu/product/gorenje-zacsko-vakuumcsomagolo-gephez-vb12-55-17191","https://www.somogyi.hu/product/gorenje-zacsko-vakuumcsomagolo-gephez-vb12-55-17191")</f>
        <v>0.0</v>
      </c>
      <c r="E218" s="7" t="n">
        <f>HYPERLINK("https://www.somogyi.hu/data/img/product_main_images/small/17191.jpg","https://www.somogyi.hu/data/img/product_main_images/small/17191.jpg")</f>
        <v>0.0</v>
      </c>
      <c r="F218" s="2" t="inlineStr">
        <is>
          <t>3838942741173</t>
        </is>
      </c>
      <c r="G218" s="4" t="inlineStr">
        <is>
          <t xml:space="preserve"> • jellemzők: szag és ízmentes zacskók 
 • űrtartalom: 1 l 
 • csomagolási egység: 30 db / csomag 
 • méret: 12 x 55 cm</t>
        </is>
      </c>
    </row>
    <row r="219">
      <c r="A219" s="3" t="inlineStr">
        <is>
          <t>VB12/55</t>
        </is>
      </c>
      <c r="B219" s="2" t="inlineStr">
        <is>
          <t>Gorenje zacskó vákuumcsomagoló géphez</t>
        </is>
      </c>
      <c r="C219" s="1" t="n">
        <v>5490.0</v>
      </c>
      <c r="D219" s="7" t="n">
        <f>HYPERLINK("https://www.somogyi.hu/product/gorenje-zacsko-vakuumcsomagolo-gephez-vb12-55-17191","https://www.somogyi.hu/product/gorenje-zacsko-vakuumcsomagolo-gephez-vb12-55-17191")</f>
        <v>0.0</v>
      </c>
      <c r="E219" s="7" t="n">
        <f>HYPERLINK("https://www.somogyi.hu/data/img/product_main_images/small/17191.jpg","https://www.somogyi.hu/data/img/product_main_images/small/17191.jpg")</f>
        <v>0.0</v>
      </c>
      <c r="F219" s="2" t="inlineStr">
        <is>
          <t>3838942741173</t>
        </is>
      </c>
      <c r="G219" s="4" t="inlineStr">
        <is>
          <t xml:space="preserve"> • jellemzők: szag és ízmentes zacskók 
 • űrtartalom: 1 l 
 • csomagolási egység: 30 db / csomag 
 • méret: 12 x 55 cm</t>
        </is>
      </c>
    </row>
    <row r="220">
      <c r="A220" s="3" t="inlineStr">
        <is>
          <t>VB28/300</t>
        </is>
      </c>
      <c r="B220" s="2" t="inlineStr">
        <is>
          <t>Gorenje zacskó vákuumcsomagoló géphez</t>
        </is>
      </c>
      <c r="C220" s="1" t="n">
        <v>5990.0</v>
      </c>
      <c r="D220" s="7" t="n">
        <f>HYPERLINK("https://www.somogyi.hu/product/gorenje-zacsko-vakuumcsomagolo-gephez-vb28-300-17192","https://www.somogyi.hu/product/gorenje-zacsko-vakuumcsomagolo-gephez-vb28-300-17192")</f>
        <v>0.0</v>
      </c>
      <c r="E220" s="7" t="n">
        <f>HYPERLINK("https://www.somogyi.hu/data/img/product_main_images/small/17192.jpg","https://www.somogyi.hu/data/img/product_main_images/small/17192.jpg")</f>
        <v>0.0</v>
      </c>
      <c r="F220" s="2" t="inlineStr">
        <is>
          <t>3838942741166</t>
        </is>
      </c>
      <c r="G220" s="4" t="inlineStr">
        <is>
          <t xml:space="preserve"> • űrtartalom: 2 liter 
 • csomagolási egység: 3 db/doboz 
 • méret: 28 x 300 cm</t>
        </is>
      </c>
    </row>
    <row r="221">
      <c r="A221" s="3" t="inlineStr">
        <is>
          <t>VS120W</t>
        </is>
      </c>
      <c r="B221" s="2" t="inlineStr">
        <is>
          <t>Gorenje vákuumcsomagoló</t>
        </is>
      </c>
      <c r="C221" s="1" t="n">
        <v>19490.0</v>
      </c>
      <c r="D221" s="7" t="n">
        <f>HYPERLINK("https://www.somogyi.hu/product/gorenje-vakuumcsomagolo-vs120w-17190","https://www.somogyi.hu/product/gorenje-vakuumcsomagolo-vs120w-17190")</f>
        <v>0.0</v>
      </c>
      <c r="E221" s="7" t="n">
        <f>HYPERLINK("https://www.somogyi.hu/data/img/product_main_images/small/17190.jpg","https://www.somogyi.hu/data/img/product_main_images/small/17190.jpg")</f>
        <v>0.0</v>
      </c>
      <c r="F221" s="2" t="inlineStr">
        <is>
          <t>3838782060854</t>
        </is>
      </c>
      <c r="G221"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22">
      <c r="A222" s="3" t="inlineStr">
        <is>
          <t>VS120W</t>
        </is>
      </c>
      <c r="B222" s="2" t="inlineStr">
        <is>
          <t>Gorenje vákuumcsomagoló</t>
        </is>
      </c>
      <c r="C222" s="1" t="n">
        <v>25990.0</v>
      </c>
      <c r="D222" s="7" t="n">
        <f>HYPERLINK("https://www.somogyi.hu/product/gorenje-vakuumcsomagolo-vs120w-17190","https://www.somogyi.hu/product/gorenje-vakuumcsomagolo-vs120w-17190")</f>
        <v>0.0</v>
      </c>
      <c r="E222" s="7" t="n">
        <f>HYPERLINK("https://www.somogyi.hu/data/img/product_main_images/small/17190.jpg","https://www.somogyi.hu/data/img/product_main_images/small/17190.jpg")</f>
        <v>0.0</v>
      </c>
      <c r="F222" s="2" t="inlineStr">
        <is>
          <t>3838782060854</t>
        </is>
      </c>
      <c r="G222"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23">
      <c r="A223" s="6" t="inlineStr">
        <is>
          <t xml:space="preserve">   Háztartási gép, eszköz / Gyümölcscentrifuga, citromfacsaró</t>
        </is>
      </c>
      <c r="B223" s="6" t="inlineStr">
        <is>
          <t/>
        </is>
      </c>
      <c r="C223" s="6" t="inlineStr">
        <is>
          <t/>
        </is>
      </c>
      <c r="D223" s="6" t="inlineStr">
        <is>
          <t/>
        </is>
      </c>
      <c r="E223" s="6" t="inlineStr">
        <is>
          <t/>
        </is>
      </c>
      <c r="F223" s="6" t="inlineStr">
        <is>
          <t/>
        </is>
      </c>
      <c r="G223" s="6" t="inlineStr">
        <is>
          <t/>
        </is>
      </c>
    </row>
    <row r="224">
      <c r="A224" s="3" t="inlineStr">
        <is>
          <t>CJ100HE</t>
        </is>
      </c>
      <c r="B224" s="2" t="inlineStr">
        <is>
          <t>Gorenje gyümölcsprés</t>
        </is>
      </c>
      <c r="C224" s="1" t="n">
        <v>20890.0</v>
      </c>
      <c r="D224" s="7" t="n">
        <f>HYPERLINK("https://www.somogyi.hu/product/gorenje-gyumolcspres-cj100he-17187","https://www.somogyi.hu/product/gorenje-gyumolcspres-cj100he-17187")</f>
        <v>0.0</v>
      </c>
      <c r="E224" s="7" t="n">
        <f>HYPERLINK("https://www.somogyi.hu/data/img/product_main_images/small/17187.jpg","https://www.somogyi.hu/data/img/product_main_images/small/17187.jpg")</f>
        <v>0.0</v>
      </c>
      <c r="F224" s="2" t="inlineStr">
        <is>
          <t>3838782069352</t>
        </is>
      </c>
      <c r="G224"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225">
      <c r="A225" s="3" t="inlineStr">
        <is>
          <t>JC805EII</t>
        </is>
      </c>
      <c r="B225" s="2" t="inlineStr">
        <is>
          <t>Gorenje Gyümölcscentrifuga</t>
        </is>
      </c>
      <c r="C225" s="1" t="n">
        <v>27790.0</v>
      </c>
      <c r="D225" s="7" t="n">
        <f>HYPERLINK("https://www.somogyi.hu/product/gorenje-gyumolcscentrifuga-jc805eii-18028","https://www.somogyi.hu/product/gorenje-gyumolcscentrifuga-jc805eii-18028")</f>
        <v>0.0</v>
      </c>
      <c r="E225" s="7" t="n">
        <f>HYPERLINK("https://www.somogyi.hu/data/img/product_main_images/small/18028.jpg","https://www.somogyi.hu/data/img/product_main_images/small/18028.jpg")</f>
        <v>0.0</v>
      </c>
      <c r="F225" s="2" t="inlineStr">
        <is>
          <t>3838942074820</t>
        </is>
      </c>
      <c r="G225" s="4" t="inlineStr">
        <is>
          <t xml:space="preserve"> • teljesítmény: 800 W 
 • sebességfokozatok: 2 
 • gyümölcshústartály: 1,5 l 
 • tápellátás: 230 V~ / 50 Hz 
 • méret: 29 x 39,8 x 21 cm 
 • tömeg: 3,7 kg 
 • anyaga: rozsdamentes acél + műanyag ház 
 • egyéb: XXL betöltőnyílás • rozsdamentes acél micro filter • bizt.zár • tisztító kefe • csúszásmentes gumitalp</t>
        </is>
      </c>
    </row>
    <row r="226">
      <c r="A226" s="3" t="inlineStr">
        <is>
          <t>CJ100HE</t>
        </is>
      </c>
      <c r="B226" s="2" t="inlineStr">
        <is>
          <t>Gorenje gyümölcsprés</t>
        </is>
      </c>
      <c r="C226" s="1" t="n">
        <v>15490.0</v>
      </c>
      <c r="D226" s="7" t="n">
        <f>HYPERLINK("https://www.somogyi.hu/product/gorenje-gyumolcspres-cj100he-17187","https://www.somogyi.hu/product/gorenje-gyumolcspres-cj100he-17187")</f>
        <v>0.0</v>
      </c>
      <c r="E226" s="7" t="n">
        <f>HYPERLINK("https://www.somogyi.hu/data/img/product_main_images/small/17187.jpg","https://www.somogyi.hu/data/img/product_main_images/small/17187.jpg")</f>
        <v>0.0</v>
      </c>
      <c r="F226" s="2" t="inlineStr">
        <is>
          <t>3838782069352</t>
        </is>
      </c>
      <c r="G226"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227">
      <c r="A227" s="6" t="inlineStr">
        <is>
          <t xml:space="preserve">   Háztartási gép, eszköz / Húsdaráló</t>
        </is>
      </c>
      <c r="B227" s="6" t="inlineStr">
        <is>
          <t/>
        </is>
      </c>
      <c r="C227" s="6" t="inlineStr">
        <is>
          <t/>
        </is>
      </c>
      <c r="D227" s="6" t="inlineStr">
        <is>
          <t/>
        </is>
      </c>
      <c r="E227" s="6" t="inlineStr">
        <is>
          <t/>
        </is>
      </c>
      <c r="F227" s="6" t="inlineStr">
        <is>
          <t/>
        </is>
      </c>
      <c r="G227" s="6" t="inlineStr">
        <is>
          <t/>
        </is>
      </c>
    </row>
    <row r="228">
      <c r="A228" s="3" t="inlineStr">
        <is>
          <t>HG HD 1300/PP</t>
        </is>
      </c>
      <c r="B228" s="2" t="inlineStr">
        <is>
          <t>Home HG HD 1300/PP paradicsompasszírozó, Home HG HD 1300 készülékhez, paradicsom vagy egyéb gyümölcsök pürésítésére</t>
        </is>
      </c>
      <c r="C228" s="1" t="n">
        <v>4990.0</v>
      </c>
      <c r="D228" s="7" t="n">
        <f>HYPERLINK("https://www.somogyi.hu/product/home-hg-hd-1300-pp-paradicsompasszirozo-home-hg-hd-1300-keszulekhez-paradicsom-vagy-egyeb-gyumolcsok-puresitesere-hg-hd-1300-pp-16642","https://www.somogyi.hu/product/home-hg-hd-1300-pp-paradicsompasszirozo-home-hg-hd-1300-keszulekhez-paradicsom-vagy-egyeb-gyumolcsok-puresitesere-hg-hd-1300-pp-16642")</f>
        <v>0.0</v>
      </c>
      <c r="E228" s="7" t="n">
        <f>HYPERLINK("https://www.somogyi.hu/data/img/product_main_images/small/16642.jpg","https://www.somogyi.hu/data/img/product_main_images/small/16642.jpg")</f>
        <v>0.0</v>
      </c>
      <c r="F228" s="2" t="inlineStr">
        <is>
          <t>5999084946746</t>
        </is>
      </c>
      <c r="G228" s="4" t="inlineStr">
        <is>
          <t>A HG HD 1300/PP Paradicsompasszírozó kiegészítő tartozéka a HG HD 1300 húsdaráló gépnek. Alkalmas paradicsom, vagy egyéb gyümölcsök pürésítésére. Lekvár, paradicsompüré, vagy egy finom gyümölcspüré készítéséről legyen szó, bármelyik könnyedén megoldható.</t>
        </is>
      </c>
    </row>
    <row r="229">
      <c r="A229" s="3" t="inlineStr">
        <is>
          <t>HG HD 1300/SZ</t>
        </is>
      </c>
      <c r="B229" s="2" t="inlineStr">
        <is>
          <t>Home HG HD 1300/SZ szeletelő-, darálókészlet, Home HG HD 1300 készülékhez, 3-féle betét</t>
        </is>
      </c>
      <c r="C229" s="1" t="n">
        <v>4590.0</v>
      </c>
      <c r="D229" s="7" t="n">
        <f>HYPERLINK("https://www.somogyi.hu/product/home-hg-hd-1300-sz-szeletelo-daralokeszlet-home-hg-hd-1300-keszulekhez-3-fele-betet-hg-hd-1300-sz-16643","https://www.somogyi.hu/product/home-hg-hd-1300-sz-szeletelo-daralokeszlet-home-hg-hd-1300-keszulekhez-3-fele-betet-hg-hd-1300-sz-16643")</f>
        <v>0.0</v>
      </c>
      <c r="E229" s="7" t="n">
        <f>HYPERLINK("https://www.somogyi.hu/data/img/product_main_images/small/16643.jpg","https://www.somogyi.hu/data/img/product_main_images/small/16643.jpg")</f>
        <v>0.0</v>
      </c>
      <c r="F229" s="2" t="inlineStr">
        <is>
          <t>5999084946753</t>
        </is>
      </c>
      <c r="G229" s="4" t="inlineStr">
        <is>
          <t>A HG HD 1300/SZ Szeletelő, darálókészlet kiegészítő tartozéka a HG HD 1300 húsdaráló gépnek. A 3 féle betét segítségével szeletelni, almát-, sajtot reszelni vagy diót darálni is gond nélkül tud.</t>
        </is>
      </c>
    </row>
    <row r="230">
      <c r="A230" s="3" t="inlineStr">
        <is>
          <t>MG1602W</t>
        </is>
      </c>
      <c r="B230" s="2" t="inlineStr">
        <is>
          <t>Gorenje húsdaráló, 1600 W</t>
        </is>
      </c>
      <c r="C230" s="1" t="n">
        <v>28290.0</v>
      </c>
      <c r="D230" s="7" t="n">
        <f>HYPERLINK("https://www.somogyi.hu/product/gorenje-husdaralo-1600-w-mg1602w-18291","https://www.somogyi.hu/product/gorenje-husdaralo-1600-w-mg1602w-18291")</f>
        <v>0.0</v>
      </c>
      <c r="E230" s="7" t="n">
        <f>HYPERLINK("https://www.somogyi.hu/data/img/product_main_images/small/18291.jpg","https://www.somogyi.hu/data/img/product_main_images/small/18291.jpg")</f>
        <v>0.0</v>
      </c>
      <c r="F230" s="2" t="inlineStr">
        <is>
          <t>3838782570759</t>
        </is>
      </c>
      <c r="G230" s="4" t="inlineStr">
        <is>
          <t xml:space="preserve"> • teljesítmény: 1600 W 
 • vágórostély: 2 db : durva daráláshoz, finom daráláshoz 
 • vágókés: rozsdamentes acél 
 • előre / hátra üzemmód: igen 
 • tápellátás: 230 V~ / 50 Hz 
 • méret: 23 x 18 x 23 cm 
 • tömeg: 2,2 kg 
 • anyaga: fém és műanyag ház 
 • kapacitás: 1,9 kg/perc 
 • egyéb: kék működés visszajelző • csúszásgátló gumilábak</t>
        </is>
      </c>
    </row>
    <row r="231">
      <c r="A231" s="3" t="inlineStr">
        <is>
          <t>HG HD 1300</t>
        </is>
      </c>
      <c r="B231" s="2" t="inlineStr">
        <is>
          <t>Home HG HD 1300 húsdaráló, teljesítmény 1300 W, darálási kapacitás 1600 g / perc, rozsdamentes kés, forgásirányváltás</t>
        </is>
      </c>
      <c r="C231" s="1" t="n">
        <v>25990.0</v>
      </c>
      <c r="D231" s="7" t="n">
        <f>HYPERLINK("https://www.somogyi.hu/product/home-hg-hd-1300-husdaralo-teljesitmeny-1300-w-daralasi-kapacitas-1600-g-perc-rozsdamentes-kes-forgasiranyvaltas-hg-hd-1300-16641","https://www.somogyi.hu/product/home-hg-hd-1300-husdaralo-teljesitmeny-1300-w-daralasi-kapacitas-1600-g-perc-rozsdamentes-kes-forgasiranyvaltas-hg-hd-1300-16641")</f>
        <v>0.0</v>
      </c>
      <c r="E231" s="7" t="n">
        <f>HYPERLINK("https://www.somogyi.hu/data/img/product_main_images/small/16641.jpg","https://www.somogyi.hu/data/img/product_main_images/small/16641.jpg")</f>
        <v>0.0</v>
      </c>
      <c r="F231" s="2" t="inlineStr">
        <is>
          <t>5999084946739</t>
        </is>
      </c>
      <c r="G231" s="4" t="inlineStr">
        <is>
          <t>Gondolt már arra, hogy mennyivel jobb lenne a frissen darált hús ételei elkészítéséhez? A Home HG HD 1300 húsdaráló a válasz erre az igényre, a konyhai kreativitás új dimenzióját kínálva. Ezzel az erőművel, melynek maximális teljesítménye 1300 W, a darálási kapacitása pedig lenyűgöző 1600 g/perc, pillanatok alatt elkészülhetnek a legfinomabb alapanyagok.
A húsdaráló 3 különböző rozsdamentes vágórostélyt tartalmaz: a 3 mm-es finom, az 5 mm-es normál és a 7 mm-es durva rostély segítségével könnyedén váltogathat a kívánt textúrák között. A rozsdamentes kés gondoskodik a precíz vágásról, míg az adagolótálca a hús egyszerű betöltését teszi lehetővé. Az extra tartozékok, mint a kolbásztöltő és kebbekészítő, újabb szintre emelhetik a konyhai kreativitást. A forgásirányváltási funkcióval a gép még sokoldalúbbá válik, és a csúszásmentes talpaknak köszönhetően mindig stabilan áll az asztalon.
Tegye gazdagabbá konyháját ezzel a lenyűgöző húsdarálóval, és élvezze a házi húskészítmények egyedülálló ízét és minőségét! Fedezze fel az igazi, otthoni ízek világát a Home HG HD 1300 húsdaráló segítségével!</t>
        </is>
      </c>
    </row>
    <row r="232">
      <c r="A232" s="6" t="inlineStr">
        <is>
          <t xml:space="preserve">   Háztartási gép, eszköz / Kenyérpirító</t>
        </is>
      </c>
      <c r="B232" s="6" t="inlineStr">
        <is>
          <t/>
        </is>
      </c>
      <c r="C232" s="6" t="inlineStr">
        <is>
          <t/>
        </is>
      </c>
      <c r="D232" s="6" t="inlineStr">
        <is>
          <t/>
        </is>
      </c>
      <c r="E232" s="6" t="inlineStr">
        <is>
          <t/>
        </is>
      </c>
      <c r="F232" s="6" t="inlineStr">
        <is>
          <t/>
        </is>
      </c>
      <c r="G232" s="6" t="inlineStr">
        <is>
          <t/>
        </is>
      </c>
    </row>
    <row r="233">
      <c r="A233" s="3" t="inlineStr">
        <is>
          <t>MT-RP2L09W</t>
        </is>
      </c>
      <c r="B233" s="2" t="inlineStr">
        <is>
          <t>Midea MT-RP2L09W kenyérpirító, max. 950 W, 6-fokozatú időzítés, visszajelző fények, vezetéktároló, fehér-fekete</t>
        </is>
      </c>
      <c r="C233" s="1" t="n">
        <v>9090.0</v>
      </c>
      <c r="D233" s="7" t="n">
        <f>HYPERLINK("https://www.somogyi.hu/product/midea-mt-rp2l09w-kenyerpirito-max-950-w-6-fokozatu-idozites-visszajelzo-fenyek-vezetektarolo-feher-fekete-mt-rp2l09w-17806","https://www.somogyi.hu/product/midea-mt-rp2l09w-kenyerpirito-max-950-w-6-fokozatu-idozites-visszajelzo-fenyek-vezetektarolo-feher-fekete-mt-rp2l09w-17806")</f>
        <v>0.0</v>
      </c>
      <c r="E233" s="7" t="n">
        <f>HYPERLINK("https://www.somogyi.hu/data/img/product_main_images/small/17806.jpg","https://www.somogyi.hu/data/img/product_main_images/small/17806.jpg")</f>
        <v>0.0</v>
      </c>
      <c r="F233" s="2" t="inlineStr">
        <is>
          <t>6939962708485</t>
        </is>
      </c>
      <c r="G233" s="4" t="inlineStr">
        <is>
          <t>Ez a 800-950 W teljesítményű MIDEA kompakt kenyérpirító két nyílással rendelkezik, így könnyedén megpiríthat 2 szelet kenyeret egyszerre. A hat különböző pirítási beállítás lehetővé teszi, hogy a kívánt pirítási szintet, az enyhén pirítottól az aranybarnáig elérje. A kihúzható morzsatálca összegyűjti az összes morzsát, így a termék rendkívül könnyedén tisztítható. A hűvös érintésű műanyag külső burkolat biztonságos használatot garantál. A stop/újramelegítés/kiolvasztás funkciók gombnyomással kapcsolhatók, és visszajelző fényekkel jelzik a használatot. Az elektronikus pirítás-megszakítás funkció megakadályozza a kenyerek túlpirítását. A kenyér középre igazítása segít az egyenletes pirítás elérésében. A csúszásmentes talpak biztonságossá teszik a termék használatát. A vezetéktároló és a kenyérbeakadás-gátló funkció teszik igazán különlegessé termékünket, mely nem hiányozhat az Ön konyhájából sem!</t>
        </is>
      </c>
    </row>
    <row r="234">
      <c r="A234" s="3" t="inlineStr">
        <is>
          <t>HG KP 01</t>
        </is>
      </c>
      <c r="B234" s="2" t="inlineStr">
        <is>
          <t>Home HG KP 01 kenyérpirító, teljesítmény 750 W, 7 fokozat, STOP gomb, egyszerre két szelet kenyér pirítható, fehér</t>
        </is>
      </c>
      <c r="C234" s="1" t="n">
        <v>6490.0</v>
      </c>
      <c r="D234" s="7" t="n">
        <f>HYPERLINK("https://www.somogyi.hu/product/home-hg-kp-01-kenyerpirito-teljesitmeny-750-w-7-fokozat-stop-gomb-egyszerre-ket-szelet-kenyer-pirithato-feher-hg-kp-01-14966","https://www.somogyi.hu/product/home-hg-kp-01-kenyerpirito-teljesitmeny-750-w-7-fokozat-stop-gomb-egyszerre-ket-szelet-kenyer-pirithato-feher-hg-kp-01-14966")</f>
        <v>0.0</v>
      </c>
      <c r="E234" s="7" t="n">
        <f>HYPERLINK("https://www.somogyi.hu/data/img/product_main_images/small/14966.jpg","https://www.somogyi.hu/data/img/product_main_images/small/14966.jpg")</f>
        <v>0.0</v>
      </c>
      <c r="F234" s="2" t="inlineStr">
        <is>
          <t>5999084930004</t>
        </is>
      </c>
      <c r="G234" s="4" t="inlineStr">
        <is>
          <t>Lepje meg magát és szeretteit reggelente egy ízletes pirítóssal és keresse a HG KP 01 kenyérpirítót! A 2 szeletes „cool touch” kenyérpirító 750 W teljesítménnyel rendelkezik. Válassza a minőségi termékeket és rendeljen webáruházunkból.</t>
        </is>
      </c>
    </row>
    <row r="235">
      <c r="A235" s="3" t="inlineStr">
        <is>
          <t>HG KP 42</t>
        </is>
      </c>
      <c r="B235" s="2" t="inlineStr">
        <is>
          <t>Home HG KP 42 4 szeletes kenyérpirító, 1400 W, cooltouch, 7 fokozat, zsemlemelegítő, fehér</t>
        </is>
      </c>
      <c r="C235" s="1" t="n">
        <v>10990.0</v>
      </c>
      <c r="D235" s="7" t="n">
        <f>HYPERLINK("https://www.somogyi.hu/product/home-hg-kp-42-4-szeletes-kenyerpirito-1400-w-cooltouch-7-fokozat-zsemlemelegito-feher-hg-kp-42-18199","https://www.somogyi.hu/product/home-hg-kp-42-4-szeletes-kenyerpirito-1400-w-cooltouch-7-fokozat-zsemlemelegito-feher-hg-kp-42-18199")</f>
        <v>0.0</v>
      </c>
      <c r="E235" s="7" t="n">
        <f>HYPERLINK("https://www.somogyi.hu/data/img/product_main_images/small/18199.jpg","https://www.somogyi.hu/data/img/product_main_images/small/18199.jpg")</f>
        <v>0.0</v>
      </c>
      <c r="F235" s="2" t="inlineStr">
        <is>
          <t>5999084962210</t>
        </is>
      </c>
      <c r="G235" s="4" t="inlineStr">
        <is>
          <t>Szeretne könnyedén tökéletes reggeliket készíteni? A Home HG KP 42 Kenyérpirító a konyha elengedhetetlen kelléke lehet! Ez az 1400 W teljesítményű kenyérpirító lehetővé teszi, hogy egyszerre négy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(38,2 x 14,4 x 17,2 cm) lehetővé teszik, hogy akár a legkisebb konyhákban is elférjen.
Ne hagyja ki ezt a lehetőséget! Kényeztesse magát és családját minden reggel a Home HG KP 42 Kenyérpirítóval, amely gyors, egyenletes pirítást és könnyű tisztítást kínál a tökéletes reggelihez.</t>
        </is>
      </c>
    </row>
    <row r="236">
      <c r="A236" s="3" t="inlineStr">
        <is>
          <t>HG KP 22</t>
        </is>
      </c>
      <c r="B236" s="2" t="inlineStr">
        <is>
          <t>Home HG KP 22 2 szeletes kenyérpirító, 750W, cooltouch, 7 fokozat, fehér</t>
        </is>
      </c>
      <c r="C236" s="1" t="n">
        <v>7290.0</v>
      </c>
      <c r="D236" s="7" t="n">
        <f>HYPERLINK("https://www.somogyi.hu/product/home-hg-kp-22-2-szeletes-kenyerpirito-750w-cooltouch-7-fokozat-feher-hg-kp-22-18258","https://www.somogyi.hu/product/home-hg-kp-22-2-szeletes-kenyerpirito-750w-cooltouch-7-fokozat-feher-hg-kp-22-18258")</f>
        <v>0.0</v>
      </c>
      <c r="E236" s="7" t="n">
        <f>HYPERLINK("https://www.somogyi.hu/data/img/product_main_images/small/18258.jpg","https://www.somogyi.hu/data/img/product_main_images/small/18258.jpg")</f>
        <v>0.0</v>
      </c>
      <c r="F236" s="2" t="inlineStr">
        <is>
          <t>5999084962807</t>
        </is>
      </c>
      <c r="G236" s="4" t="inlineStr">
        <is>
          <t>Szeretne könnyedén tökéletes reggeliket készíteni? A Home HG KP 22 Kenyérpirító a konyha elengedhetetlen kelléke lehet! Ez a 750 W teljesítményű kenyérpirító lehetővé teszi, hogy egyszerre két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(26 x 14,4 x 17,2 cm) lehetővé teszik, hogy akár a legkisebb konyhákban is elférjen.
Ne hagyja ki ezt a lehetőséget! Kényeztesse magát és családját minden reggel a Home HG KP 22 Kenyérpirítóval, amely gyors, egyenletes pirítást és könnyű tisztítást kínál a tökéletes reggelihez.</t>
        </is>
      </c>
    </row>
    <row r="237">
      <c r="A237" s="6" t="inlineStr">
        <is>
          <t xml:space="preserve">   Háztartási gép, eszköz / Konyhai mérleg</t>
        </is>
      </c>
      <c r="B237" s="6" t="inlineStr">
        <is>
          <t/>
        </is>
      </c>
      <c r="C237" s="6" t="inlineStr">
        <is>
          <t/>
        </is>
      </c>
      <c r="D237" s="6" t="inlineStr">
        <is>
          <t/>
        </is>
      </c>
      <c r="E237" s="6" t="inlineStr">
        <is>
          <t/>
        </is>
      </c>
      <c r="F237" s="6" t="inlineStr">
        <is>
          <t/>
        </is>
      </c>
      <c r="G237" s="6" t="inlineStr">
        <is>
          <t/>
        </is>
      </c>
    </row>
    <row r="238">
      <c r="A238" s="3" t="inlineStr">
        <is>
          <t>10-274-001</t>
        </is>
      </c>
      <c r="B238" s="2" t="inlineStr">
        <is>
          <t>NAVA 10-274-001 Imperial digitális konyhai mérleg és mérőkancsó, 1,5l, 5kg</t>
        </is>
      </c>
      <c r="C238" s="1" t="n">
        <v>6890.0</v>
      </c>
      <c r="D238" s="7" t="n">
        <f>HYPERLINK("https://www.somogyi.hu/product/nava-10-274-001-imperial-digitalis-konyhai-merleg-es-merokancso-1-5l-5kg-10-274-001-18348","https://www.somogyi.hu/product/nava-10-274-001-imperial-digitalis-konyhai-merleg-es-merokancso-1-5l-5kg-10-274-001-18348")</f>
        <v>0.0</v>
      </c>
      <c r="E238" s="7" t="n">
        <f>HYPERLINK("https://www.somogyi.hu/data/img/product_main_images/small/18348.jpg","https://www.somogyi.hu/data/img/product_main_images/small/18348.jpg")</f>
        <v>0.0</v>
      </c>
      <c r="F238" s="2" t="inlineStr">
        <is>
          <t>5205746175592</t>
        </is>
      </c>
      <c r="G238" s="4" t="inlineStr">
        <is>
          <t>Ön is szeretné, ha a pontos mérések gyerekjátékká válnának a konyhában? A NAVA 10-274-001 Imperial digitális konyhai mérleg és mérőkancsóval egyszerűvé és pontosabbá teheti a főzést és sütést. 
Az intuitív LED kijelző és a kancsó oldalán található mérőskálával - amely ml, oz és csésze egységeket is megjelenít - minden hozzávalót a legnagyobb precizitással mérhet le.
A mérőkancsó 1,5 literes maximális kapacitásával és 50 ml-es mérési fokozataival ideális a különféle receptekhez. A -20°C-tól 60°C-ig terjedő hőmérsékleti tartományának köszönhetően a kancsó kiválóan alkalmazható hűtött vagy meleg hozzávalók mérésére is. A mérleg 5 kg-ig terhelhető, és három különböző súlymód közül választhat: gramm, uncia, milliliter. A tára funkcióval egyszerűen levonhatja az edény súlyát, így csak a hozzávalók tömegét méri. Az automatikus kikapcsolás funkcióval két perc inaktivitás után a készülék energiatakarékos módba lép, az elemmerülés és túlterhelés jelző pedig gondoskodik a mérleg hosszú élettartamáról. A csúszásmentes talp garantálja a stabilitást a használat során. Kérjük vegye figyelembe, hogy a 2x1,5V AAA elemeket külön kell megvásárolni.
Tegye hatékonyabbá és élvezetesebbé a konyhai munkát a NAVA 10-274-001 Imperial digitális konyhai mérleg és mérőkancsó segítségével.</t>
        </is>
      </c>
    </row>
    <row r="239">
      <c r="A239" s="3" t="inlineStr">
        <is>
          <t>HG M 15</t>
        </is>
      </c>
      <c r="B239" s="2" t="inlineStr">
        <is>
          <t xml:space="preserve">Home HG M 15 konyhai mérleg, méréshatár 15 kg, mérési pontosság: 1 g, tára funkció, világító piros LED kijelzővel, automatikus kikapcsolás, </t>
        </is>
      </c>
      <c r="C239" s="1" t="n">
        <v>5990.0</v>
      </c>
      <c r="D239" s="7" t="n">
        <f>HYPERLINK("https://www.somogyi.hu/product/home-hg-m-15-konyhai-merleg-mereshatar-15-kg-meresi-pontossag-1-g-tara-funkcio-vilagito-piros-led-kijelzovel-automatikus-kikapcsolas-hg-m-15-16640","https://www.somogyi.hu/product/home-hg-m-15-konyhai-merleg-mereshatar-15-kg-meresi-pontossag-1-g-tara-funkcio-vilagito-piros-led-kijelzovel-automatikus-kikapcsolas-hg-m-15-16640")</f>
        <v>0.0</v>
      </c>
      <c r="E239" s="7" t="n">
        <f>HYPERLINK("https://www.somogyi.hu/data/img/product_main_images/small/16640.jpg","https://www.somogyi.hu/data/img/product_main_images/small/16640.jpg")</f>
        <v>0.0</v>
      </c>
      <c r="F239" s="2" t="inlineStr">
        <is>
          <t>5999084946722</t>
        </is>
      </c>
      <c r="G239" s="4" t="inlineStr">
        <is>
          <t>A HG M 15 Konyhai mérleg elengedhetetlen eszköze egy jól felszerelt konyhának. Nagy mérési felülettel és 15 kg kapacitással rendelkezik. Túlterhelés esetén jelzést ad. Tárázási funkcióval van ellátva az egyszerű használat érdekében. 
A konyhai mérleg világító piros led kijelzője jól látható mérés közben is. Automatikusan kikapcsol, így a 2 db 1,5V AAA elem hosszú élettartamot biztosít. Az elem nem tartozéka a csomagnak. 
Ha szeret a konyhában sütni- főzni, nagy segítsége lesz a pontos hozzávalók kimérésében ez a konyhai mérleg.</t>
        </is>
      </c>
    </row>
    <row r="240">
      <c r="A240" s="3" t="inlineStr">
        <is>
          <t>HG M 05</t>
        </is>
      </c>
      <c r="B240" s="2" t="inlineStr">
        <is>
          <t>Home HG M 05 konyhai mérleg, méréshatár 5 kg, mérési pontosság 1 g, tára funkció, automatikus kikapcsolás</t>
        </is>
      </c>
      <c r="C240" s="1" t="n">
        <v>4290.0</v>
      </c>
      <c r="D240" s="7" t="n">
        <f>HYPERLINK("https://www.somogyi.hu/product/home-hg-m-05-konyhai-merleg-mereshatar-5-kg-meresi-pontossag-1-g-tara-funkcio-automatikus-kikapcsolas-hg-m-05-16639","https://www.somogyi.hu/product/home-hg-m-05-konyhai-merleg-mereshatar-5-kg-meresi-pontossag-1-g-tara-funkcio-automatikus-kikapcsolas-hg-m-05-16639")</f>
        <v>0.0</v>
      </c>
      <c r="E240" s="7" t="n">
        <f>HYPERLINK("https://www.somogyi.hu/data/img/product_main_images/small/16639.jpg","https://www.somogyi.hu/data/img/product_main_images/small/16639.jpg")</f>
        <v>0.0</v>
      </c>
      <c r="F240" s="2" t="inlineStr">
        <is>
          <t>5999084946715</t>
        </is>
      </c>
      <c r="G240" s="4" t="inlineStr">
        <is>
          <t>A HG M 05 Konyhai mérleg elengedhetetlen eszköze egy jól felszerelt konyhának. Méréshatára 5 kg, túlterhelés esetén jelzést ad. 
A konyhai mérleg tárázási funkcióval van ellátva az egyszerű használat érdekében. Automatikusan kikapcsol, így a 2 db 1,5V AAA elem hosszú élettartamot biztosít. Az elem nem tartozéka a csomagnak. 
Ha szeret a konyhában sütni- főzni, nagy segítsége lesz a pontos hozzávalók kimérésében ez a konyhai mérleg.</t>
        </is>
      </c>
    </row>
    <row r="241">
      <c r="A241" s="6" t="inlineStr">
        <is>
          <t xml:space="preserve">   Háztartási gép, eszköz / Mikrohullámú sütő, minisütő</t>
        </is>
      </c>
      <c r="B241" s="6" t="inlineStr">
        <is>
          <t/>
        </is>
      </c>
      <c r="C241" s="6" t="inlineStr">
        <is>
          <t/>
        </is>
      </c>
      <c r="D241" s="6" t="inlineStr">
        <is>
          <t/>
        </is>
      </c>
      <c r="E241" s="6" t="inlineStr">
        <is>
          <t/>
        </is>
      </c>
      <c r="F241" s="6" t="inlineStr">
        <is>
          <t/>
        </is>
      </c>
      <c r="G241" s="6" t="inlineStr">
        <is>
          <t/>
        </is>
      </c>
    </row>
    <row r="242">
      <c r="A242" s="3" t="inlineStr">
        <is>
          <t>HG MH 21</t>
        </is>
      </c>
      <c r="B242" s="2" t="inlineStr">
        <is>
          <t>Home HG MH 21 mikrohullámú sütő, 700 W, 20 literes, 5 fokozatban állítható teljesítmény, fehér</t>
        </is>
      </c>
      <c r="C242" s="1" t="n">
        <v>29190.0</v>
      </c>
      <c r="D242" s="7" t="n">
        <f>HYPERLINK("https://www.somogyi.hu/product/home-hg-mh-21-mikrohullamu-suto-700-w-20-literes-5-fokozatban-allithato-teljesitmeny-feher-hg-mh-21-15973","https://www.somogyi.hu/product/home-hg-mh-21-mikrohullamu-suto-700-w-20-literes-5-fokozatban-allithato-teljesitmeny-feher-hg-mh-21-15973")</f>
        <v>0.0</v>
      </c>
      <c r="E242" s="7" t="n">
        <f>HYPERLINK("https://www.somogyi.hu/data/img/product_main_images/small/15973.jpg","https://www.somogyi.hu/data/img/product_main_images/small/15973.jpg")</f>
        <v>0.0</v>
      </c>
      <c r="F242" s="2" t="inlineStr">
        <is>
          <t>5999084940072</t>
        </is>
      </c>
      <c r="G242" s="4" t="inlineStr">
        <is>
          <t>A HG MH 21 Mikrohullámú sütő 700 W teljesítményű, mely 5 fokozatban állítható. Belső kapacitása 20 liter. A kiolvasztó funkció és a max. 35 perces időzítő előnyös tulajdonsága. A nagyméretű fogantyú segítségével könnyedén nyitható ajtaja. Tegye egyszerűbbé az étel melegítést ezzel a mikrohullámú sütővel.</t>
        </is>
      </c>
    </row>
    <row r="243">
      <c r="A243" s="3" t="inlineStr">
        <is>
          <t>HG MS 10</t>
        </is>
      </c>
      <c r="B243" s="2" t="inlineStr">
        <is>
          <t>Home HG MS 10 mini sütő termosztáttal, teljesítmény 1050 W, 9 literes, max. 230 °C, dupla üvegezésű ajtó, fekete</t>
        </is>
      </c>
      <c r="C243" s="1" t="n">
        <v>17990.0</v>
      </c>
      <c r="D243" s="7" t="n">
        <f>HYPERLINK("https://www.somogyi.hu/product/home-hg-ms-10-mini-suto-termosztattal-teljesitmeny-1050-w-9-literes-max-230-c-dupla-uvegezesu-ajto-fekete-hg-ms-10-17237","https://www.somogyi.hu/product/home-hg-ms-10-mini-suto-termosztattal-teljesitmeny-1050-w-9-literes-max-230-c-dupla-uvegezesu-ajto-fekete-hg-ms-10-17237")</f>
        <v>0.0</v>
      </c>
      <c r="E243" s="7" t="n">
        <f>HYPERLINK("https://www.somogyi.hu/data/img/product_main_images/small/17237.jpg","https://www.somogyi.hu/data/img/product_main_images/small/17237.jpg")</f>
        <v>0.0</v>
      </c>
      <c r="F243" s="2" t="inlineStr">
        <is>
          <t>5999084952617</t>
        </is>
      </c>
      <c r="G243" s="4" t="inlineStr">
        <is>
          <t>A HG MS 10 Mini sütő elengedhetetlen tartozéka a hétvégi házaknak és nyaralóknak. A termék kifejezetten ideális a gyors és egyszerű ételek, mint pl. melegszendvicsek, lasagne, mini pizza, vagy pirítósok elkészítéséhez. 
A mini sütő hőmérséklete 230 °C-ig kapcsolható a termosztát segítségével. Időzítője maximum 60 percig állítható.
Külseje és fogantyúja hőszigetelt burkolattal ellátott, ajtaja dupla üvegezésű. A termék további előnye, hogy egyszerűen működtethető, továbbá tisztítása könnyedén megoldható.</t>
        </is>
      </c>
    </row>
    <row r="244">
      <c r="A244" s="3" t="inlineStr">
        <is>
          <t>HGMH32D</t>
        </is>
      </c>
      <c r="B244" s="2" t="inlineStr">
        <is>
          <t>Home HGMH32D mikrohullámú sütő, 1000 W, 32 l kapacitás, 95 p időzítő, 5 teljesítményszint, 8 automata program, gyerekzár, 14.53 kg</t>
        </is>
      </c>
      <c r="C244" s="1" t="n">
        <v>45990.0</v>
      </c>
      <c r="D244" s="7" t="n">
        <f>HYPERLINK("https://www.somogyi.hu/product/home-hgmh32d-mikrohullamu-suto-1000-w-32-l-kapacitas-95-p-idozito-5-teljesitmenyszint-8-automata-program-gyerekzar-14-53-kg-hgmh32d-18349","https://www.somogyi.hu/product/home-hgmh32d-mikrohullamu-suto-1000-w-32-l-kapacitas-95-p-idozito-5-teljesitmenyszint-8-automata-program-gyerekzar-14-53-kg-hgmh32d-18349")</f>
        <v>0.0</v>
      </c>
      <c r="E244" s="7" t="n">
        <f>HYPERLINK("https://www.somogyi.hu/data/img/product_main_images/small/18349.jpg","https://www.somogyi.hu/data/img/product_main_images/small/18349.jpg")</f>
        <v>0.0</v>
      </c>
      <c r="F244" s="2" t="inlineStr">
        <is>
          <t>5999084963675</t>
        </is>
      </c>
      <c r="G244" s="4" t="inlineStr">
        <is>
          <t>Egy nagy kapacitású mikrohullámú sütőt keres, amely minden igényt kielégít? A Home HGMH32D mikrohullámú sütő 32 literes térfogatával és 1000 W-os teljesítményével ideális választás a gyors és hatékony ételkészítéshez. A sütőben található Ø315 mm-es üveg forgótányér egyenletesen oszlatja el a hőt, míg a festett szürke beltér fehér LED világítása elegáns megjelenést kölcsönöz a konyhának.
Digitális vezérlésével könnyedén választhat a 8 automata program közül, így minden étel tökéletesre sül. Legyen szó kiolvasztásról tömeg vagy idő alapján, vagy akár többlépcsős főzésről, ez a mikrohullámú sütő minden elvárásnak megfelel. A 95 perces időzítővel precízen szabályozhatja az ételkészítés idejét, míg a gyerekzár funkció biztonságot garantál a kisebbek számára is.
Ne hagyja ki ezt a konyhai csodát, mely a 230V~/50Hz-es tápellátással és 14,53 kg-os súlyával könnyen illeszkedik bármely konyhába. Fedezze fel a Home HGMH32D mikrohullámú sütő nyújtotta kényelmet és hatékonyságot!</t>
        </is>
      </c>
    </row>
    <row r="245">
      <c r="A245" s="3" t="inlineStr">
        <is>
          <t>HG MH 23 GR</t>
        </is>
      </c>
      <c r="B245" s="2" t="inlineStr">
        <is>
          <t>Home HG MH 23 GR mikrohullámú sütő grill funkcióval, digitális, 800 W, 23 literes, gyerekzár, szürke</t>
        </is>
      </c>
      <c r="C245" s="1" t="n">
        <v>43790.0</v>
      </c>
      <c r="D245" s="7" t="n">
        <f>HYPERLINK("https://www.somogyi.hu/product/home-hg-mh-23-gr-mikrohullamu-suto-grill-funkcioval-digitalis-800-w-23-literes-gyerekzar-szurke-hg-mh-23-gr-16925","https://www.somogyi.hu/product/home-hg-mh-23-gr-mikrohullamu-suto-grill-funkcioval-digitalis-800-w-23-literes-gyerekzar-szurke-hg-mh-23-gr-16925")</f>
        <v>0.0</v>
      </c>
      <c r="E245" s="7" t="n">
        <f>HYPERLINK("https://www.somogyi.hu/data/img/product_main_images/small/16925.jpg","https://www.somogyi.hu/data/img/product_main_images/small/16925.jpg")</f>
        <v>0.0</v>
      </c>
      <c r="F245" s="2" t="inlineStr">
        <is>
          <t>5999084949570</t>
        </is>
      </c>
      <c r="G245" s="4" t="inlineStr">
        <is>
          <t>A mikrohullámú sütő grill funkcióval egy digitális vezérlésű, 23 literes konyhai eszköz, amely minden háztartás nélkülözhetetlen eleme.
A teljesítménye 5 fokozatban állítható és előre beállított programokkal rendelkezik, így leegyszerűsíti a sütés-főzés munkafolyamatát.
Grillfunkciója 1000 W teljesítményű, a grillrács tartozékul szolgál.
Olvasztási funkciója a fagyasztott étel súlya szerint, vagy az előre beállított idő szerint programozható.
Gyermekzárral rendelkezik, amellyel megelőzhető a kiskorúak számára a kinyitás.
A nagyméretű fogantyújának kiképzése kényelmes, tetszetős külleme szinte minden stílusú konyha elrendezéséhez tökéletesen illik.</t>
        </is>
      </c>
    </row>
    <row r="246">
      <c r="A246" s="3" t="inlineStr">
        <is>
          <t>MAM720C2AT (WH)</t>
        </is>
      </c>
      <c r="B246" s="2" t="inlineStr">
        <is>
          <t>Midea MAM720C2AT (WH) digitális mikrohullámú sütő, 700 W, 20 literes , 8 menü, gyerekzár, fehér</t>
        </is>
      </c>
      <c r="C246" s="1" t="n">
        <v>41090.0</v>
      </c>
      <c r="D246" s="7" t="n">
        <f>HYPERLINK("https://www.somogyi.hu/product/midea-mam720c2at-wh-digitalis-mikrohullamu-suto-700-w-20-literes-8-menu-gyerekzar-feher-mam720c2at-wh-17988","https://www.somogyi.hu/product/midea-mam720c2at-wh-digitalis-mikrohullamu-suto-700-w-20-literes-8-menu-gyerekzar-feher-mam720c2at-wh-17988")</f>
        <v>0.0</v>
      </c>
      <c r="E246" s="7" t="n">
        <f>HYPERLINK("https://www.somogyi.hu/data/img/product_main_images/small/17988.jpg","https://www.somogyi.hu/data/img/product_main_images/small/17988.jpg")</f>
        <v>0.0</v>
      </c>
      <c r="F246" s="2" t="inlineStr">
        <is>
          <t>6944271669914</t>
        </is>
      </c>
      <c r="G246" s="4" t="inlineStr">
        <is>
          <t>A MIDEA szabadon álló digitális mikrohullámú sütőnk, nélkülözhetetlen eszköz konyhájában! A készülék manuálisan állítható, 5 különböző teljesítményfokozatban. A 20 literes belső térfogatának köszönhetően nagyobb mennyiségű ételt is felmelegíthet benne. Ajtaja oldalra nyílik és a gyerekzárral különösen biztonságos a mikrohullámú sütő használata. A kiolvasztási funkció lehetővé teszi, hogy súly vagy idő szerint olvassza ki az ételeket. A csomag tartalmaz egy 25,5 cm-es forgótányért is. A maximális főzési idő 95 perc, melynek végén a sütő automatikusan lekapcsol. A sütőt 440 x 346 x 259 mm méretben és 10,25 kg tömeggel kínáljuk.</t>
        </is>
      </c>
    </row>
    <row r="247">
      <c r="A247" s="3" t="inlineStr">
        <is>
          <t>HGMH19</t>
        </is>
      </c>
      <c r="B247" s="2" t="inlineStr">
        <is>
          <t>Home HGMH19 mikrohullámú sütő, 700 W, 19 L, 5 fokozat, innoWAVE technológia, kiolvasztás súly és idő szerint, max. 30 p időzítő</t>
        </is>
      </c>
      <c r="C247" s="1" t="n">
        <v>27690.0</v>
      </c>
      <c r="D247" s="7" t="n">
        <f>HYPERLINK("https://www.somogyi.hu/product/home-hgmh19-mikrohullamu-suto-700-w-19-l-5-fokozat-innowave-technologia-kiolvasztas-suly-es-ido-szerint-max-30-p-idozito-hgmh19-18319","https://www.somogyi.hu/product/home-hgmh19-mikrohullamu-suto-700-w-19-l-5-fokozat-innowave-technologia-kiolvasztas-suly-es-ido-szerint-max-30-p-idozito-hgmh19-18319")</f>
        <v>0.0</v>
      </c>
      <c r="E247" s="7" t="n">
        <f>HYPERLINK("https://www.somogyi.hu/data/img/product_main_images/small/18319.jpg","https://www.somogyi.hu/data/img/product_main_images/small/18319.jpg")</f>
        <v>0.0</v>
      </c>
      <c r="F247" s="2" t="inlineStr">
        <is>
          <t>5999084963378</t>
        </is>
      </c>
      <c r="G247" s="4" t="inlineStr">
        <is>
          <t>Egy megbízható mikrohullámú sütőt keres, amely minden igényt kielégít? A Home HGMH19 mikrohullámú sütő az innoWAVE technológiával garantálja az egyenletes melegítést és főzést, így minden étel tökéletesen elkészíthető.
A 700 W-os teljesítmény és a 19 literes kapacitás biztosítják a különböző méretű ételek gyors elkészítését. Az öt fokozatban állítható teljesítményszint és a súly vagy idő alapján történő kiolvasztási funkció tovább növeli a kényelmet, míg a 30 perces időzítő lehetővé teszi az időben pontos ételkészítést. A kényelmes használatot a nagyméretű fogantyú és az Ø245 mm-es üveg forgótányér is elősegíti. Könnyű tisztítás és elegáns megjelenés jellemzi, tömege pedig ideális a könnyű mozgatáshoz.
Fedezze fel a gyors és egyszerű ételkészítés új dimenzióját a Home HGMH19 mikrohullámú sütővel!</t>
        </is>
      </c>
    </row>
    <row r="248">
      <c r="A248" s="3" t="inlineStr">
        <is>
          <t>MO17E1W</t>
        </is>
      </c>
      <c r="B248" s="2" t="inlineStr">
        <is>
          <t>Gorenje mikrohullámú sütő, 700 W, 17 l</t>
        </is>
      </c>
      <c r="C248" s="1" t="n">
        <v>31890.0</v>
      </c>
      <c r="D248" s="7" t="n">
        <f>HYPERLINK("https://www.somogyi.hu/product/gorenje-mikrohullamu-suto-700-w-17-l-mo17e1w-18298","https://www.somogyi.hu/product/gorenje-mikrohullamu-suto-700-w-17-l-mo17e1w-18298")</f>
        <v>0.0</v>
      </c>
      <c r="E248" s="7" t="n">
        <f>HYPERLINK("https://www.somogyi.hu/data/img/product_main_images/small/18298.jpg","https://www.somogyi.hu/data/img/product_main_images/small/18298.jpg")</f>
        <v>0.0</v>
      </c>
      <c r="F248" s="2" t="inlineStr">
        <is>
          <t>3838782175350</t>
        </is>
      </c>
      <c r="G248" s="4" t="inlineStr">
        <is>
          <t xml:space="preserve"> • teljesítmény: 700 W 
 • űrtartalom: 17 l 
 • üzemmódok: 5 mikro teljesítményfokozat 
 • forgótányér: Ø 245 mm 
 • tápellátás: 230 V~ / 50 Hz 
 • méretek: 451 x 257 x 343 mm 
 • tömeg: 10,6 kg 
 • funkció: AquaClean öntisztítás 
 • jellemzők: manuális vezérlés • üvegajtó</t>
        </is>
      </c>
    </row>
    <row r="249">
      <c r="A249" s="6" t="inlineStr">
        <is>
          <t xml:space="preserve">   Háztartási gép, eszköz / Mixer</t>
        </is>
      </c>
      <c r="B249" s="6" t="inlineStr">
        <is>
          <t/>
        </is>
      </c>
      <c r="C249" s="6" t="inlineStr">
        <is>
          <t/>
        </is>
      </c>
      <c r="D249" s="6" t="inlineStr">
        <is>
          <t/>
        </is>
      </c>
      <c r="E249" s="6" t="inlineStr">
        <is>
          <t/>
        </is>
      </c>
      <c r="F249" s="6" t="inlineStr">
        <is>
          <t/>
        </is>
      </c>
      <c r="G249" s="6" t="inlineStr">
        <is>
          <t/>
        </is>
      </c>
    </row>
    <row r="250">
      <c r="A250" s="3" t="inlineStr">
        <is>
          <t>HM0293</t>
        </is>
      </c>
      <c r="B250" s="2" t="inlineStr">
        <is>
          <t>Midea HM0293 kézi mixer, 5 sebesség + turbó fokozat, 400 W, fekete</t>
        </is>
      </c>
      <c r="C250" s="1" t="n">
        <v>13890.0</v>
      </c>
      <c r="D250" s="7" t="n">
        <f>HYPERLINK("https://www.somogyi.hu/product/midea-hm0293-kezi-mixer-5-sebesseg-turbo-fokozat-400-w-fekete-hm0293-17813","https://www.somogyi.hu/product/midea-hm0293-kezi-mixer-5-sebesseg-turbo-fokozat-400-w-fekete-hm0293-17813")</f>
        <v>0.0</v>
      </c>
      <c r="E250" s="7" t="n">
        <f>HYPERLINK("https://www.somogyi.hu/data/img/product_main_images/small/17813.jpg","https://www.somogyi.hu/data/img/product_main_images/small/17813.jpg")</f>
        <v>0.0</v>
      </c>
      <c r="F250" s="2" t="inlineStr">
        <is>
          <t>6939962756127</t>
        </is>
      </c>
      <c r="G250" s="4" t="inlineStr">
        <is>
          <t>A 400 W teljesítményű MIDEA multifunkcionális kézi mixer 5 állítható sebességfokozattal és turbó fokozattal rendelkezik, így bármilyen típusú krém, turmix, püré vagy ital könnyedén elkészíthető vele. A rozsdamentes acél fejek és az egyszerű, egygombos keverőkar kiadása még hatékonyabbá, kényelmesebbé teszi a használatát. A habverők mosogatógépben moshatóak,  és a háza is könnyen tisztítható. A  mixer hangtalanul működik, többfunkciós és könnyen kezelhető, rendelje meg még ma webáruházunkban!</t>
        </is>
      </c>
    </row>
    <row r="251">
      <c r="A251" s="3" t="inlineStr">
        <is>
          <t>HG BMS 64</t>
        </is>
      </c>
      <c r="B251" s="2" t="inlineStr">
        <is>
          <t xml:space="preserve">Home HG BMS 64 botmixerszett, teljesítmény 600 W, 2 sebességfokozat, rozsdamentes kések, </t>
        </is>
      </c>
      <c r="C251" s="1" t="n">
        <v>14890.0</v>
      </c>
      <c r="D251" s="7" t="n">
        <f>HYPERLINK("https://www.somogyi.hu/product/home-hg-bms-64-botmixerszett-teljesitmeny-600-w-2-sebessegfokozat-rozsdamentes-kesek-hg-bms-64-16419","https://www.somogyi.hu/product/home-hg-bms-64-botmixerszett-teljesitmeny-600-w-2-sebessegfokozat-rozsdamentes-kesek-hg-bms-64-16419")</f>
        <v>0.0</v>
      </c>
      <c r="E251" s="7" t="n">
        <f>HYPERLINK("https://www.somogyi.hu/data/img/product_main_images/small/16419.jpg","https://www.somogyi.hu/data/img/product_main_images/small/16419.jpg")</f>
        <v>0.0</v>
      </c>
      <c r="F251" s="2" t="inlineStr">
        <is>
          <t>5999084944513</t>
        </is>
      </c>
      <c r="G251" s="4" t="inlineStr">
        <is>
          <t>"Képzelje el, hogy egy eszköz képes választ adni az összes konyhai igényére. A Home HG BMS 64 botmixerszett nem csupán egy szimpla botmixer. 600 W teljesítményével gyors és hatékony eredményt garantál, legyen szó turmixolásról vagy aprításról. A csomagban található rozsdamentes mixer, mérőpohár, habverő és a tálas aprító kiváló minőségűek és rendkívül praktikusak.
Az aprítás sosem volt ennyire egyszerű! A tálas aprító 600 ml űrtartalmával kiválóan alkalmas diók, zöldségek, gyümölcsök gyors feldolgozására. A 700 ml-es mérőpohárban pedig a tökéletes mennyiségeket mérhetjük le. A kétféle sebességfokozat lehetővé teszi, hogy minden alapanyagot a legoptimálisabb intenzitással dolgozzunk fel. Az ergonomikus markolatnak köszönhetően a kezelése is kényelmes és egyszerű, míg a könnyen összerakható szerkezet és a rozsdamentes kések hosszútávon is biztosítják a termék megbízhatóságát. Az egyszerű tisztíthatóság mellett nem szabad megfeledkezni a túlmelegedés elleni védelemről sem, ami biztosítja, hogy készülékünk mindig biztonságosan működjön.
Ne várjon tovább! Fedezze fel a konyhai munkák egyszerűségét a Home HG BMS 64 botmixerszettel!"</t>
        </is>
      </c>
    </row>
    <row r="252">
      <c r="A252" s="3" t="inlineStr">
        <is>
          <t>HG KM 18</t>
        </is>
      </c>
      <c r="B252" s="2" t="inlineStr">
        <is>
          <t>Home HG KM 18 kézi mixer, teljesítmény 250 W, 5 sebességfokozat, TURBO fokozat, habverő és dagasztó karok, fehér</t>
        </is>
      </c>
      <c r="C252" s="1" t="n">
        <v>8490.0</v>
      </c>
      <c r="D252" s="7" t="n">
        <f>HYPERLINK("https://www.somogyi.hu/product/home-hg-km-18-kezi-mixer-teljesitmeny-250-w-5-sebessegfokozat-turbo-fokozat-habvero-es-dagaszto-karok-feher-hg-km-18-16592","https://www.somogyi.hu/product/home-hg-km-18-kezi-mixer-teljesitmeny-250-w-5-sebessegfokozat-turbo-fokozat-habvero-es-dagaszto-karok-feher-hg-km-18-16592")</f>
        <v>0.0</v>
      </c>
      <c r="E252" s="7" t="n">
        <f>HYPERLINK("https://www.somogyi.hu/data/img/product_main_images/small/16592.jpg","https://www.somogyi.hu/data/img/product_main_images/small/16592.jpg")</f>
        <v>0.0</v>
      </c>
      <c r="F252" s="2" t="inlineStr">
        <is>
          <t>5999084946241</t>
        </is>
      </c>
      <c r="G252" s="4" t="inlineStr">
        <is>
          <t>A HG KM 18 Kézi mixer segítségével elkészítheti kedvenc ételeit és süteményeit. Teljesítménye 250 W, 5 sebesség fokozatban állítható, valamint TURBO sebességgel is ellátott. Biztonságos használatot nyújt a túlmelegedés elleni védelemnek köszönhetően. 
A kézi mixer tartozéka a habverő és dagasztó karok.</t>
        </is>
      </c>
    </row>
    <row r="253">
      <c r="A253" s="3" t="inlineStr">
        <is>
          <t>HG BM 12</t>
        </is>
      </c>
      <c r="B253" s="2" t="inlineStr">
        <is>
          <t>Home HG BM 12 botmixer, teljesítmény 250 W, ABS alapanyag, nemesacél kések, túlmelegedés elleni védelem</t>
        </is>
      </c>
      <c r="C253" s="1" t="n">
        <v>5890.0</v>
      </c>
      <c r="D253" s="7" t="n">
        <f>HYPERLINK("https://www.somogyi.hu/product/home-hg-bm-12-botmixer-teljesitmeny-250-w-abs-alapanyag-nemesacel-kesek-tulmelegedes-elleni-vedelem-hg-bm-12-14974","https://www.somogyi.hu/product/home-hg-bm-12-botmixer-teljesitmeny-250-w-abs-alapanyag-nemesacel-kesek-tulmelegedes-elleni-vedelem-hg-bm-12-14974")</f>
        <v>0.0</v>
      </c>
      <c r="E253" s="7" t="n">
        <f>HYPERLINK("https://www.somogyi.hu/data/img/product_main_images/small/14974.jpg","https://www.somogyi.hu/data/img/product_main_images/small/14974.jpg")</f>
        <v>0.0</v>
      </c>
      <c r="F253" s="2" t="inlineStr">
        <is>
          <t>5999084930080</t>
        </is>
      </c>
      <c r="G253" s="4" t="inlineStr">
        <is>
          <t>Készítse el kedvenc turmixait a HG BM 12 botmixer segítségével! A termék levehető szárral és 1,2 méteres kábellel rendelkezik. Fordulatszáma: 15000/perc. Válassza a minőségi termékeket és rendeljen webáruházunkból!</t>
        </is>
      </c>
    </row>
    <row r="254">
      <c r="A254" s="3" t="inlineStr">
        <is>
          <t>BH1001W</t>
        </is>
      </c>
      <c r="B254" s="2" t="inlineStr">
        <is>
          <t>MIDEA Botmixer készlet</t>
        </is>
      </c>
      <c r="C254" s="1" t="n">
        <v>23790.0</v>
      </c>
      <c r="D254" s="7" t="n">
        <f>HYPERLINK("https://www.somogyi.hu/product/midea-botmixer-keszlet-bh1001w-17808","https://www.somogyi.hu/product/midea-botmixer-keszlet-bh1001w-17808")</f>
        <v>0.0</v>
      </c>
      <c r="E254" s="7" t="n">
        <f>HYPERLINK("https://www.somogyi.hu/data/img/product_main_images/small/17808.jpg","https://www.somogyi.hu/data/img/product_main_images/small/17808.jpg")</f>
        <v>0.0</v>
      </c>
      <c r="F254" s="2" t="inlineStr">
        <is>
          <t>6939962794822</t>
        </is>
      </c>
      <c r="G254" s="4" t="inlineStr">
        <is>
          <t>Válassza a MIDEA 4 az 1-ben turmixkészletet, hogy a konyhája teljessé váljon! A rozsdamentes acél felület elegáns és modern, amely minden konyhába remekül illeszkedik. Ez a kompakt turmixkészlet tartalmaz egy botmixert, egy aprítót, egy habverőt, valamint egy praktikus, bőséges 900 ml-es turmixpoharat. A levesek, szószok és smoothie-k elkészítése és turmixolása sosem volt még ilyen egyszerű és kényelmes.
A turmixkészlet 1000 W-os motorral, rozsdamentes acél tengellyel és pengével van felszerelve, amelynek köszönhetően megbirkózik a legkeményebb zöldségekkel és gyümölcsökkel is. A fokozatmentes fordulatszámállítás lehetővé teszi, hogy az elkészítés minden fázisában precízen állítsa be a kívánt sebességet.
Az aprító tökéletes a hagyma, a dió és a zöldségek finomra aprításához, míg a botmixer nagyszerűen használható krémes levesek, bébiételek és smoothie-k elkészítéséhez. A turmixpohárban közvetlenül turmixolhat, így közvetlenül adagolhatja a hozzávalókat. Minden tartozék mosogatógépben is, de forró vízzel és tisztítószerrel is könnyen tisztítható.
Válassza a MIDEA® 4 az 1-ben turmixkészletet, és élvezze a turmixolás könnyedségét és kényelmét közvetlenül otthonában!</t>
        </is>
      </c>
    </row>
    <row r="255">
      <c r="A255" s="6" t="inlineStr">
        <is>
          <t xml:space="preserve">   Háztartási gép, eszköz / Olajsütő, főzőlap</t>
        </is>
      </c>
      <c r="B255" s="6" t="inlineStr">
        <is>
          <t/>
        </is>
      </c>
      <c r="C255" s="6" t="inlineStr">
        <is>
          <t/>
        </is>
      </c>
      <c r="D255" s="6" t="inlineStr">
        <is>
          <t/>
        </is>
      </c>
      <c r="E255" s="6" t="inlineStr">
        <is>
          <t/>
        </is>
      </c>
      <c r="F255" s="6" t="inlineStr">
        <is>
          <t/>
        </is>
      </c>
      <c r="G255" s="6" t="inlineStr">
        <is>
          <t/>
        </is>
      </c>
    </row>
    <row r="256">
      <c r="A256" s="3" t="inlineStr">
        <is>
          <t>HG R 01WH</t>
        </is>
      </c>
      <c r="B256" s="2" t="inlineStr">
        <is>
          <t>Home HG R 01WH hordozható elektromos főzőlap, teljesítmény: 1500 W, ∅18 cm főzőfelület, zománcozott készülékház, fehér</t>
        </is>
      </c>
      <c r="C256" s="1" t="n">
        <v>8390.0</v>
      </c>
      <c r="D256" s="7" t="n">
        <f>HYPERLINK("https://www.somogyi.hu/product/home-hg-r-01wh-hordozhato-elektromos-fozolap-teljesitmeny-1500-w-18-cm-fozofelulet-zomancozott-keszulekhaz-feher-hg-r-01wh-17903","https://www.somogyi.hu/product/home-hg-r-01wh-hordozhato-elektromos-fozolap-teljesitmeny-1500-w-18-cm-fozofelulet-zomancozott-keszulekhaz-feher-hg-r-01wh-17903")</f>
        <v>0.0</v>
      </c>
      <c r="E256" s="7" t="n">
        <f>HYPERLINK("https://www.somogyi.hu/data/img/product_main_images/small/17903.jpg","https://www.somogyi.hu/data/img/product_main_images/small/17903.jpg")</f>
        <v>0.0</v>
      </c>
      <c r="F256" s="2" t="inlineStr">
        <is>
          <t>5999084959258</t>
        </is>
      </c>
      <c r="G256" s="4" t="inlineStr">
        <is>
          <t>A HG R 01WH Hordozható elektromos főzőlap 1500 W teljesítményű, a főzőfelület 18 cm átmérőjű, így nagyobb edények is elférnek rajta. Masszív, zománcozott készülékháza könnyen tisztítható. 
A rezsó praktikus hétvégi házakban, kollégiumokban vagy kempingezéskor, mivel bárhová magával viheti.</t>
        </is>
      </c>
    </row>
    <row r="257">
      <c r="A257" s="3" t="inlineStr">
        <is>
          <t>HG R 04SS</t>
        </is>
      </c>
      <c r="B257" s="2" t="inlineStr">
        <is>
          <t>Home HG R 04SS hordozható elektromos főzőlap, dupla, teljesítmény 1000 W + 1500 W, ∅15 cm + ∅18 cm főzőfelület, rozsdamentes készülékház</t>
        </is>
      </c>
      <c r="C257" s="1" t="n">
        <v>13490.0</v>
      </c>
      <c r="D257" s="7" t="n">
        <f>HYPERLINK("https://www.somogyi.hu/product/home-hg-r-04ss-hordozhato-elektromos-fozolap-dupla-teljesitmeny-1000-w-1500-w-15-cm-18-cm-fozofelulet-rozsdamentes-keszulekhaz-hg-r-04ss-17906","https://www.somogyi.hu/product/home-hg-r-04ss-hordozhato-elektromos-fozolap-dupla-teljesitmeny-1000-w-1500-w-15-cm-18-cm-fozofelulet-rozsdamentes-keszulekhaz-hg-r-04ss-17906")</f>
        <v>0.0</v>
      </c>
      <c r="E257" s="7" t="n">
        <f>HYPERLINK("https://www.somogyi.hu/data/img/product_main_images/small/17906.jpg","https://www.somogyi.hu/data/img/product_main_images/small/17906.jpg")</f>
        <v>0.0</v>
      </c>
      <c r="F257" s="2" t="inlineStr">
        <is>
          <t>5999084959289</t>
        </is>
      </c>
      <c r="G257" s="4" t="inlineStr">
        <is>
          <t>Ön is gondolkodott már azon, hogyan varázsolhatna gyorsan egy finom ételt szűkebb helyeken vagy utazás közben? A Home HG R 04SS hordozható elektromos főzőlap pontosan erre a célra lett tervezve. 
Legyen szó hétvégi házról, kollégiumi konyháról vagy egy sátras kempingezésről, ez a készülék tökéletes társ lesz. Két különböző átmérőjű (15 cm és 18 cm-es) főzőfelületeivel két különböző fogást is készíthet egyszerre, az 1000W és 1500W-os teljesítménynek köszönhetően pedig mindkettő gyorsan felmelegszik, megfőzhető. A beállítható főzési hőmérséklet révén mindig az ideális hőfokon készülhetnek el ételei, a stabil gumilábak pedig gondoskodnak a készülék megingathatatlan pozíciójáról. A stabil gumilábaknak köszönhetően biztosan áll, míg a rozsdamentes készülékház garantálja a hosszú élettartamot és a könnyű tisztíthatóságot. Mivel kompakt méretű, könnyedén tárolhatja vagy szállíthatja, és kisebb helyeken is elfér. 
Ne hagyja ki ezt az innovatív konyhai eszközt, mely megkönnyíti az ételkészítést bárhol és bármikor!</t>
        </is>
      </c>
    </row>
    <row r="258">
      <c r="A258" s="3" t="inlineStr">
        <is>
          <t>HG R 03SS</t>
        </is>
      </c>
      <c r="B258" s="2" t="inlineStr">
        <is>
          <t>Home HG R 03SS hordozható elektromos főzőlap, teljesítmény: 1500 W, ∅18 cm főzőfelület, rozsdamentes készülékház</t>
        </is>
      </c>
      <c r="C258" s="1" t="n">
        <v>8690.0</v>
      </c>
      <c r="D258" s="7" t="n">
        <f>HYPERLINK("https://www.somogyi.hu/product/home-hg-r-03ss-hordozhato-elektromos-fozolap-teljesitmeny-1500-w-18-cm-fozofelulet-rozsdamentes-keszulekhaz-hg-r-03ss-17905","https://www.somogyi.hu/product/home-hg-r-03ss-hordozhato-elektromos-fozolap-teljesitmeny-1500-w-18-cm-fozofelulet-rozsdamentes-keszulekhaz-hg-r-03ss-17905")</f>
        <v>0.0</v>
      </c>
      <c r="E258" s="7" t="n">
        <f>HYPERLINK("https://www.somogyi.hu/data/img/product_main_images/small/17905.jpg","https://www.somogyi.hu/data/img/product_main_images/small/17905.jpg")</f>
        <v>0.0</v>
      </c>
      <c r="F258" s="2" t="inlineStr">
        <is>
          <t>5999084959272</t>
        </is>
      </c>
      <c r="G258" s="4" t="inlineStr">
        <is>
          <t>A hordozható elektromos főzőlap nagyon praktikus választás olyan helyeken, ahol nincs tűzhely, főzési lehetőség.
A rezsó főzési hőmérséklete beállítható, gyorsan felmelegszik, így kempingezésnél, kollégiumban, hétvégi házaknál, és építési területeken a munkások számára is pillanatok alatt kávét, teát, finom ételt varázsol az asztalra.
A készülék tisztítása könnyű és kis helyigényű.</t>
        </is>
      </c>
    </row>
    <row r="259">
      <c r="A259" s="3" t="inlineStr">
        <is>
          <t>HG R 02WH</t>
        </is>
      </c>
      <c r="B259" s="2" t="inlineStr">
        <is>
          <t>Home HG R 02WH hordozható elektromos főzőlap, dupla, teljesítmény 1000 W + 1500 W, ∅15 cm + ∅18 cm főzőfelület, zománcozott készülékház, fehér</t>
        </is>
      </c>
      <c r="C259" s="1" t="n">
        <v>11290.0</v>
      </c>
      <c r="D259" s="7" t="n">
        <f>HYPERLINK("https://www.somogyi.hu/product/home-hg-r-02wh-hordozhato-elektromos-fozolap-dupla-teljesitmeny-1000-w-1500-w-15-cm-18-cm-fozofelulet-zomancozott-keszulekhaz-feher-hg-r-02wh-17904","https://www.somogyi.hu/product/home-hg-r-02wh-hordozhato-elektromos-fozolap-dupla-teljesitmeny-1000-w-1500-w-15-cm-18-cm-fozofelulet-zomancozott-keszulekhaz-feher-hg-r-02wh-17904")</f>
        <v>0.0</v>
      </c>
      <c r="E259" s="7" t="n">
        <f>HYPERLINK("https://www.somogyi.hu/data/img/product_main_images/small/17904.jpg","https://www.somogyi.hu/data/img/product_main_images/small/17904.jpg")</f>
        <v>0.0</v>
      </c>
      <c r="F259" s="2" t="inlineStr">
        <is>
          <t>5999084959265</t>
        </is>
      </c>
      <c r="G259" s="4" t="inlineStr">
        <is>
          <t>A HG R 02WH Hordozható elektromos főzőlap 2500 W összteljesítményű. Két különböző méretű főzőfelülettel rendelkezik, a 15 cm ∅ 1000 W, a 18 cm ∅ 1500 W teljesítményű. Masszív zománcozott készülékháza könnyen tisztítható. 
A rezsó praktikus hétvégi házakban, kollégiumokban vagy kempingezéskor, mivel bárhová magával viheti.</t>
        </is>
      </c>
    </row>
    <row r="260">
      <c r="A260" s="3" t="inlineStr">
        <is>
          <t>HG IF 29</t>
        </is>
      </c>
      <c r="B260" s="2" t="inlineStr">
        <is>
          <t>Home HG IF 29 indukciós főzőlap, teljesítmény 2000 W, hordozható, használható edényméret: ∅12 – ∅26 cm, automatikus edényfelismerés</t>
        </is>
      </c>
      <c r="C260" s="1" t="n">
        <v>18090.0</v>
      </c>
      <c r="D260" s="7" t="n">
        <f>HYPERLINK("https://www.somogyi.hu/product/home-hg-if-29-indukcios-fozolap-teljesitmeny-2000-w-hordozhato-hasznalhato-edenymeret-12-26-cm-automatikus-edenyfelismeres-hg-if-29-17948","https://www.somogyi.hu/product/home-hg-if-29-indukcios-fozolap-teljesitmeny-2000-w-hordozhato-hasznalhato-edenymeret-12-26-cm-automatikus-edenyfelismeres-hg-if-29-17948")</f>
        <v>0.0</v>
      </c>
      <c r="E260" s="7" t="n">
        <f>HYPERLINK("https://www.somogyi.hu/data/img/product_main_images/small/17948.jpg","https://www.somogyi.hu/data/img/product_main_images/small/17948.jpg")</f>
        <v>0.0</v>
      </c>
      <c r="F260" s="2" t="inlineStr">
        <is>
          <t>5999084959708</t>
        </is>
      </c>
      <c r="G260" s="4" t="inlineStr">
        <is>
          <t>Indukciós főzőlap ideális választás azok számára, akik kényelmesebbé szeretnék tenni a főzést. A szabadon álló, hordozható kialakításnak köszönhetően bármilyen helyen használható. A főzőfelület hőálló üvegkerámiából készült, ami nemcsak tartós, hanem könnyen tisztítható is. Az érintőgombos vezérlésnek köszönhetően az indukciós főzőlap 10 fokozatban állítható (200 W - 2000 W), hőmérséklete pedig 20 °C-onként, szintén 10 fokozatban szabályozható, 60-240 °C között.
Az automatikus edényfelismerésnek köszönhetően az indukciós főzőlap érzékeli az edény méretét és beállítja a megfelelő teljesítményt. A csúszásgátló szilikon talpak biztonságos és stabil használatot biztosítanak, a gyerekzárnak köszönhetően pedig biztonságos a használata. Az időzítő funkció 1 perctől 3 óráig állítható.
A főzőlapon használható edények mérete Ø12 – Ø26 cm, és az indukciós főzőlap mérete pedig mindössze 290 x 64 mm. Válassza indukciós főzőlapunkat, és élvezze az egyszerű és hatékony főzést bárhol!</t>
        </is>
      </c>
    </row>
    <row r="261">
      <c r="A261" s="6" t="inlineStr">
        <is>
          <t xml:space="preserve">   Háztartási gép, eszköz / Kávéfőző és tartozékok</t>
        </is>
      </c>
      <c r="B261" s="6" t="inlineStr">
        <is>
          <t/>
        </is>
      </c>
      <c r="C261" s="6" t="inlineStr">
        <is>
          <t/>
        </is>
      </c>
      <c r="D261" s="6" t="inlineStr">
        <is>
          <t/>
        </is>
      </c>
      <c r="E261" s="6" t="inlineStr">
        <is>
          <t/>
        </is>
      </c>
      <c r="F261" s="6" t="inlineStr">
        <is>
          <t/>
        </is>
      </c>
      <c r="G261" s="6" t="inlineStr">
        <is>
          <t/>
        </is>
      </c>
    </row>
    <row r="262">
      <c r="A262" s="3" t="inlineStr">
        <is>
          <t>02CF036</t>
        </is>
      </c>
      <c r="B262" s="2" t="inlineStr">
        <is>
          <t>Pedrini Steel Moka kávéfőző, 2 személyes, indukciós főzőlaphoz, rozsdamentes acél</t>
        </is>
      </c>
      <c r="C262" s="1" t="n">
        <v>10990.0</v>
      </c>
      <c r="D262" s="7" t="n">
        <f>HYPERLINK("https://www.somogyi.hu/product/pedrini-steel-moka-kavefozo-2-szemelyes-indukcios-fozolaphoz-rozsdamentes-acel-02cf036-18326","https://www.somogyi.hu/product/pedrini-steel-moka-kavefozo-2-szemelyes-indukcios-fozolaphoz-rozsdamentes-acel-02cf036-18326")</f>
        <v>0.0</v>
      </c>
      <c r="E262" s="7" t="n">
        <f>HYPERLINK("https://www.somogyi.hu/data/img/product_main_images/small/18326.jpg","https://www.somogyi.hu/data/img/product_main_images/small/18326.jpg")</f>
        <v>0.0</v>
      </c>
      <c r="F262" s="2" t="inlineStr">
        <is>
          <t>883336406766</t>
        </is>
      </c>
      <c r="G262" s="4" t="inlineStr">
        <is>
          <t>Gondolkodott már azon, hogy miként csempészhetne egy kis olasz eleganciát a reggeli kávézási rituáléjába? A Pedrini Steel Moka kávéfőzővel most egyszerűen megvalósíthatja ezt a vágyát, miközben két személy részére készíthet autentikus, ízletes italt.
A 2 személyre tervezett Pedrini Steel Moka kávéfőző tökéletes választás azok számára, akik szeretik az olasz stílusú kávékat, de nem akarnak lemondani a modern technológia adta lehetőségekről sem. Ez a kávéfőző speciálisan olyan szerkezettel készült, amely kompatibilis az indukciós főzőlapokkal, így a legújabb konyhatechnológiai trendeknek is megfelel.
A kávéfőző anyaga prémium minőségű 18/10 rozsdamentes acél, amely nemcsak tartósságot garantál, hanem a kávé ízének tisztaságát is megőrzi. A szűrő és a tölcsér szintén ebből az anyagból készül, biztosítva ezzel a tartós használatot és könnyű tisztítást. A hőálló fogantyú akár 210°C-ig is ellenáll a magas hőmérsékleteknek, míg az élelmiszer-biztonsági szilikonból készült tömítések optimális záródást biztosítanak.
Ne feledkezzünk meg a biztonsági szelepről sem, ami 100%-ig vezérelt, így biztosítható, hogy a kávéfőzés minden alkalommal biztonságosan történik meg. A Pedrini Steel Moka kávéfőző nemcsak funkcionalitásában, hanem külsejében is kiemelkedik: elegáns megjelenése minden konyhát feldob.
Fedezze fel a minőségi kávézás minden örömét a Pedrini Steel Moka kávéfőzővel, amely tökéletes harmóniát teremt a hagyományos ízek és a modern konyhatechnológia között.</t>
        </is>
      </c>
    </row>
    <row r="263">
      <c r="A263" s="3" t="inlineStr">
        <is>
          <t>HG KV 06</t>
        </is>
      </c>
      <c r="B263" s="2" t="inlineStr">
        <is>
          <t>Home HG KV 06 kávéfőző, teljesítmény 870 W, 8 csésze kávé elkészítéséhez, 1 literes víztartály, fűtött melegen tartó lap</t>
        </is>
      </c>
      <c r="C263" s="1" t="n">
        <v>13790.0</v>
      </c>
      <c r="D263" s="7" t="n">
        <f>HYPERLINK("https://www.somogyi.hu/product/home-hg-kv-06-kavefozo-teljesitmeny-870-w-8-csesze-kave-elkeszitesehez-1-literes-viztartaly-futott-melegen-tarto-lap-hg-kv-06-14969","https://www.somogyi.hu/product/home-hg-kv-06-kavefozo-teljesitmeny-870-w-8-csesze-kave-elkeszitesehez-1-literes-viztartaly-futott-melegen-tarto-lap-hg-kv-06-14969")</f>
        <v>0.0</v>
      </c>
      <c r="E263" s="7" t="n">
        <f>HYPERLINK("https://www.somogyi.hu/data/img/product_main_images/small/14969.jpg","https://www.somogyi.hu/data/img/product_main_images/small/14969.jpg")</f>
        <v>0.0</v>
      </c>
      <c r="F263" s="2" t="inlineStr">
        <is>
          <t>5999084930035</t>
        </is>
      </c>
      <c r="G263" s="4" t="inlineStr">
        <is>
          <t>Mindene a kávézás? Ez esetben lepje meg magát és családját egy HG KV 06 típusú kávéfőzővel! A terméket masszív fehér színű műanyag borítja, valamint 1 literes űrtartalommal rendelkezik. Az átlátszó víztartályba 8 csészényi víz tölthető. Válassza a minőségi termékeket és rendeljen webáruházunkból.</t>
        </is>
      </c>
    </row>
    <row r="264">
      <c r="A264" s="3" t="inlineStr">
        <is>
          <t>ESCM15DBK</t>
        </is>
      </c>
      <c r="B264" s="2" t="inlineStr">
        <is>
          <t>Gorenje Digitális eszpresszó kávéfőző</t>
        </is>
      </c>
      <c r="C264" s="1" t="n">
        <v>48690.0</v>
      </c>
      <c r="D264" s="7" t="n">
        <f>HYPERLINK("https://www.somogyi.hu/product/gorenje-digitalis-eszpresszo-kavefozo-escm15dbk-17657","https://www.somogyi.hu/product/gorenje-digitalis-eszpresszo-kavefozo-escm15dbk-17657")</f>
        <v>0.0</v>
      </c>
      <c r="E264" s="7" t="n">
        <f>HYPERLINK("https://www.somogyi.hu/data/img/product_main_images/small/17657.jpg","https://www.somogyi.hu/data/img/product_main_images/small/17657.jpg")</f>
        <v>0.0</v>
      </c>
      <c r="F264" s="2" t="inlineStr">
        <is>
          <t>3838782463778</t>
        </is>
      </c>
      <c r="G264" s="4" t="inlineStr">
        <is>
          <t xml:space="preserve"> • teljesítmény: 1100 W 
 • adagok száma: 1 &amp; 2 csésze 
 • kávéfajták: eszpresszó, kapucsínó 
 • gőzölő funkció: manuális gőzfunkció 
 • kivehető csepptálca: igen 
 • túlmelegedés elleni védelem: túlmelegedés és túlnyomás elleni védelem 
 • egyéb leírás: 15 bar nagynyomású szivattyú • érintőgombos vezérlés • 1,5 literes víztartály • nagy nyomású habosító funkció • állítható gőzképzési gomb 
 • • 1 &amp; 2 csésze készítéséhez szükséges rozsdamentes alumínium szűrő • alumínium ötvözetű kazán • pontos hőmérsékletszabályozás 
 • méret: 27,4 × 30 × 27,2 cm 
 • tápellátás: 230 V~ / 50 Hz</t>
        </is>
      </c>
    </row>
    <row r="265">
      <c r="A265" s="3" t="inlineStr">
        <is>
          <t>HG PR 06</t>
        </is>
      </c>
      <c r="B265" s="2" t="inlineStr">
        <is>
          <t xml:space="preserve">Home HG PR 06 eszpesszó kávéfőző, teljesítmény: 800 W, 3,5 bar nyomás, alkalmas 4 csésze kávé elkészítéséhez, tejhabosítóval, </t>
        </is>
      </c>
      <c r="C265" s="1" t="n">
        <v>19290.0</v>
      </c>
      <c r="D265" s="7" t="n">
        <f>HYPERLINK("https://www.somogyi.hu/product/home-hg-pr-06-eszpesszo-kavefozo-teljesitmeny-800-w-3-5-bar-nyomas-alkalmas-4-csesze-kave-elkeszitesehez-tejhabositoval-hg-pr-06-15959","https://www.somogyi.hu/product/home-hg-pr-06-eszpesszo-kavefozo-teljesitmeny-800-w-3-5-bar-nyomas-alkalmas-4-csesze-kave-elkeszitesehez-tejhabositoval-hg-pr-06-15959")</f>
        <v>0.0</v>
      </c>
      <c r="E265" s="7" t="n">
        <f>HYPERLINK("https://www.somogyi.hu/data/img/product_main_images/small/15959.jpg","https://www.somogyi.hu/data/img/product_main_images/small/15959.jpg")</f>
        <v>0.0</v>
      </c>
      <c r="F265" s="2" t="inlineStr">
        <is>
          <t>5999084939939</t>
        </is>
      </c>
      <c r="G265" s="4" t="inlineStr">
        <is>
          <t>A HG PR 06 Eszpresszó kávéfőző a konyhák elengedhetetlen eszköze, mellyel igazán otthonos illatokat varázsolhat. Egyszerre 4 csésze eszpresszó kávé főzésére alkalmas. A tejhabosítóval akár lattet vagy cappuccinot is pillanatok alatt készíthet. A könnyen kivehető csepptálca egyszerűen tisztán tartható. 
Eltört az üvegkiöntő? Ezért nem kell félre tennie a kávéfőzőt, mivel a hozzá tartozó HG PR 06/K üvegkancsó megvásárolható webáruházunkban.</t>
        </is>
      </c>
    </row>
    <row r="266">
      <c r="A266" s="3" t="inlineStr">
        <is>
          <t>02CF128</t>
        </is>
      </c>
      <c r="B266" s="2" t="inlineStr">
        <is>
          <t>Pedrini 3 személyes kávéfőző</t>
        </is>
      </c>
      <c r="C266" s="1" t="n">
        <v>7990.0</v>
      </c>
      <c r="D266" s="7" t="n">
        <f>HYPERLINK("https://www.somogyi.hu/product/pedrini-3-szemelyes-kavefozo-02cf128-18331","https://www.somogyi.hu/product/pedrini-3-szemelyes-kavefozo-02cf128-18331")</f>
        <v>0.0</v>
      </c>
      <c r="E266" s="7" t="n">
        <f>HYPERLINK("https://www.somogyi.hu/data/img/product_main_images/small/18331.jpg","https://www.somogyi.hu/data/img/product_main_images/small/18331.jpg")</f>
        <v>0.0</v>
      </c>
      <c r="F266" s="2" t="inlineStr">
        <is>
          <t>883336419230</t>
        </is>
      </c>
      <c r="G266"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67">
      <c r="A267" s="3" t="inlineStr">
        <is>
          <t>02CF116</t>
        </is>
      </c>
      <c r="B267" s="2" t="inlineStr">
        <is>
          <t>Pedrini Infinity Passion kávéfőző, 6 személyes, piros, alumínium kivitel</t>
        </is>
      </c>
      <c r="C267" s="1" t="n">
        <v>9990.0</v>
      </c>
      <c r="D267" s="7" t="n">
        <f>HYPERLINK("https://www.somogyi.hu/product/pedrini-infinity-passion-kavefozo-6-szemelyes-piros-aluminium-kivitel-02cf116-18330","https://www.somogyi.hu/product/pedrini-infinity-passion-kavefozo-6-szemelyes-piros-aluminium-kivitel-02cf116-18330")</f>
        <v>0.0</v>
      </c>
      <c r="E267" s="7" t="n">
        <f>HYPERLINK("https://www.somogyi.hu/data/img/product_main_images/small/18330.jpg","https://www.somogyi.hu/data/img/product_main_images/small/18330.jpg")</f>
        <v>0.0</v>
      </c>
      <c r="F267" s="2" t="inlineStr">
        <is>
          <t>883336417397</t>
        </is>
      </c>
      <c r="G267"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268">
      <c r="A268" s="3" t="inlineStr">
        <is>
          <t>02CF115</t>
        </is>
      </c>
      <c r="B268" s="2" t="inlineStr">
        <is>
          <t>Pedrini Infinity Passion kávéfőző, 3 személyes, piros, alumínium kivitel</t>
        </is>
      </c>
      <c r="C268" s="1" t="n">
        <v>7990.0</v>
      </c>
      <c r="D268" s="7" t="n">
        <f>HYPERLINK("https://www.somogyi.hu/product/pedrini-infinity-passion-kavefozo-3-szemelyes-piros-aluminium-kivitel-02cf115-18329","https://www.somogyi.hu/product/pedrini-infinity-passion-kavefozo-3-szemelyes-piros-aluminium-kivitel-02cf115-18329")</f>
        <v>0.0</v>
      </c>
      <c r="E268" s="7" t="n">
        <f>HYPERLINK("https://www.somogyi.hu/data/img/product_main_images/small/18329.jpg","https://www.somogyi.hu/data/img/product_main_images/small/18329.jpg")</f>
        <v>0.0</v>
      </c>
      <c r="F268" s="2" t="inlineStr">
        <is>
          <t>883336417380</t>
        </is>
      </c>
      <c r="G268"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269">
      <c r="A269" s="3" t="inlineStr">
        <is>
          <t>HG PR 06/K</t>
        </is>
      </c>
      <c r="B269" s="2" t="inlineStr">
        <is>
          <t>Home HG PR 06/K üvegkiöntő a HG PR 06 eszpesszó kávéfőzőhöz</t>
        </is>
      </c>
      <c r="C269" s="1" t="n">
        <v>2690.0</v>
      </c>
      <c r="D269" s="7" t="n">
        <f>HYPERLINK("https://www.somogyi.hu/product/home-hg-pr-06-k-uvegkionto-a-hg-pr-06-eszpesszo-kavefozohoz-hg-pr-06-k-15960","https://www.somogyi.hu/product/home-hg-pr-06-k-uvegkionto-a-hg-pr-06-eszpesszo-kavefozohoz-hg-pr-06-k-15960")</f>
        <v>0.0</v>
      </c>
      <c r="E269" s="7" t="n">
        <f>HYPERLINK("https://www.somogyi.hu/data/img/product_main_images/small/15960.jpg","https://www.somogyi.hu/data/img/product_main_images/small/15960.jpg")</f>
        <v>0.0</v>
      </c>
      <c r="F269" s="2" t="inlineStr">
        <is>
          <t>5999084939946</t>
        </is>
      </c>
      <c r="G269" s="4" t="inlineStr">
        <is>
          <t>A HG PR 06/K Üveg kiöntő a HG PR 06 típusú kávéfőzőhöz vásárolható meg. Űrtartalma 240 ml. Az üveg kiöntő hőszigetelt fogantyúval ellátott.</t>
        </is>
      </c>
    </row>
    <row r="270">
      <c r="A270" s="3" t="inlineStr">
        <is>
          <t>02CF129</t>
        </is>
      </c>
      <c r="B270" s="2" t="inlineStr">
        <is>
          <t>Pedrini Infinity Rock kávéfőző, 6 személyes, fekete, alumínium kivitel</t>
        </is>
      </c>
      <c r="C270" s="1" t="n">
        <v>9990.0</v>
      </c>
      <c r="D270" s="7" t="n">
        <f>HYPERLINK("https://www.somogyi.hu/product/pedrini-infinity-rock-kavefozo-6-szemelyes-fekete-aluminium-kivitel-02cf129-18325","https://www.somogyi.hu/product/pedrini-infinity-rock-kavefozo-6-szemelyes-fekete-aluminium-kivitel-02cf129-18325")</f>
        <v>0.0</v>
      </c>
      <c r="E270" s="7" t="n">
        <f>HYPERLINK("https://www.somogyi.hu/data/img/product_main_images/small/18325.jpg","https://www.somogyi.hu/data/img/product_main_images/small/18325.jpg")</f>
        <v>0.0</v>
      </c>
      <c r="F270" s="2" t="inlineStr">
        <is>
          <t>883336419247</t>
        </is>
      </c>
      <c r="G270"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71">
      <c r="A271" s="3" t="inlineStr">
        <is>
          <t>02CF140S</t>
        </is>
      </c>
      <c r="B271" s="2" t="inlineStr">
        <is>
          <t>Pedrini Frida Kahlo 02CF140K kávéfőző, 2 csésze, sárga, élelmiszeripari polírozott alumínium, gáztűzhely, elektromos- és kerámia főzőlap</t>
        </is>
      </c>
      <c r="C271" s="1" t="n">
        <v>8490.0</v>
      </c>
      <c r="D271" s="7" t="n">
        <f>HYPERLINK("https://www.somogyi.hu/product/pedrini-frida-kahlo-02cf140k-kavefozo-2-csesze-sarga-elelmiszeripari-polirozott-aluminium-gaztuzhely-elektromos-es-keramia-fozolap-02cf140s-18677","https://www.somogyi.hu/product/pedrini-frida-kahlo-02cf140k-kavefozo-2-csesze-sarga-elelmiszeripari-polirozott-aluminium-gaztuzhely-elektromos-es-keramia-fozolap-02cf140s-18677")</f>
        <v>0.0</v>
      </c>
      <c r="E271" s="7" t="n">
        <f>HYPERLINK("https://www.somogyi.hu/data/img/product_main_images/small/18677.jpg","https://www.somogyi.hu/data/img/product_main_images/small/18677.jpg")</f>
        <v>0.0</v>
      </c>
      <c r="F271" s="2" t="inlineStr">
        <is>
          <t>0883336422407</t>
        </is>
      </c>
      <c r="G271"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72">
      <c r="A272" s="3" t="inlineStr">
        <is>
          <t>02CF142S</t>
        </is>
      </c>
      <c r="B272" s="2" t="inlineStr">
        <is>
          <t>Pedrini Frida Kahlo 02CF142S kávéfőző, 6 csésze, sárga, élelmiszeripari polírozott alumínium, gáztűzhely, elektromos- és kerámia főzőlap</t>
        </is>
      </c>
      <c r="C272" s="1" t="n">
        <v>10490.0</v>
      </c>
      <c r="D272" s="7" t="n">
        <f>HYPERLINK("https://www.somogyi.hu/product/pedrini-frida-kahlo-02cf142s-kavefozo-6-csesze-sarga-elelmiszeripari-polirozott-aluminium-gaztuzhely-elektromos-es-keramia-fozolap-02cf142s-18678","https://www.somogyi.hu/product/pedrini-frida-kahlo-02cf142s-kavefozo-6-csesze-sarga-elelmiszeripari-polirozott-aluminium-gaztuzhely-elektromos-es-keramia-fozolap-02cf142s-18678")</f>
        <v>0.0</v>
      </c>
      <c r="E272" s="7" t="n">
        <f>HYPERLINK("https://www.somogyi.hu/data/img/product_main_images/small/18678.jpg","https://www.somogyi.hu/data/img/product_main_images/small/18678.jpg")</f>
        <v>0.0</v>
      </c>
      <c r="F272" s="2" t="inlineStr">
        <is>
          <t>0883336422421</t>
        </is>
      </c>
      <c r="G272"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73">
      <c r="A273" s="3" t="inlineStr">
        <is>
          <t>02CF140K</t>
        </is>
      </c>
      <c r="B273" s="2" t="inlineStr">
        <is>
          <t>Pedrini Frida Kahlo 02CF140K kávéfőző, 2 csésze, kék, élelmiszeripari polírozott alumínium, gáztűzhely, elektromos- és kerámia főzőlap</t>
        </is>
      </c>
      <c r="C273" s="1" t="n">
        <v>8490.0</v>
      </c>
      <c r="D273" s="7" t="n">
        <f>HYPERLINK("https://www.somogyi.hu/product/pedrini-frida-kahlo-02cf140k-kavefozo-2-csesze-kek-elelmiszeripari-polirozott-aluminium-gaztuzhely-elektromos-es-keramia-fozolap-02cf140k-18850","https://www.somogyi.hu/product/pedrini-frida-kahlo-02cf140k-kavefozo-2-csesze-kek-elelmiszeripari-polirozott-aluminium-gaztuzhely-elektromos-es-keramia-fozolap-02cf140k-18850")</f>
        <v>0.0</v>
      </c>
      <c r="E273" s="7" t="n">
        <f>HYPERLINK("https://www.somogyi.hu/data/img/product_main_images/small/18850.jpg","https://www.somogyi.hu/data/img/product_main_images/small/18850.jpg")</f>
        <v>0.0</v>
      </c>
      <c r="F273" s="2" t="inlineStr">
        <is>
          <t>5999084968564</t>
        </is>
      </c>
      <c r="G273"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74">
      <c r="A274" s="3" t="inlineStr">
        <is>
          <t>MA-D1502AW</t>
        </is>
      </c>
      <c r="B274" s="2" t="inlineStr">
        <is>
          <t>Midea MA-D1502AW kávéfőző, 1000 W, 1,25 literes, melegentartó talapzat, Pause 'n Serve funkció, fehér-fekete</t>
        </is>
      </c>
      <c r="C274" s="1" t="n">
        <v>14290.0</v>
      </c>
      <c r="D274" s="7" t="n">
        <f>HYPERLINK("https://www.somogyi.hu/product/midea-ma-d1502aw-kavefozo-1000-w-1-25-literes-melegentarto-talapzat-pause-n-serve-funkcio-feher-fekete-ma-d1502aw-17807","https://www.somogyi.hu/product/midea-ma-d1502aw-kavefozo-1000-w-1-25-literes-melegentarto-talapzat-pause-n-serve-funkcio-feher-fekete-ma-d1502aw-17807")</f>
        <v>0.0</v>
      </c>
      <c r="E274" s="7" t="n">
        <f>HYPERLINK("https://www.somogyi.hu/data/img/product_main_images/small/17807.jpg","https://www.somogyi.hu/data/img/product_main_images/small/17807.jpg")</f>
        <v>0.0</v>
      </c>
      <c r="F274" s="2" t="inlineStr">
        <is>
          <t>6939962756097</t>
        </is>
      </c>
      <c r="G274" s="4" t="inlineStr">
        <is>
          <t>A MIDEA kávéfőző kiváló választás, ha tökéletes kávét szeretne otthonában elkészíteni. Az 1,25 literes kapacitás lehetővé teszi, hogy egyszerre akár 10 csésze kávét is elkészítsen. A kávéfőző kivehető műanyag szűrővel rendelkezik, így tisztítása rendkívül egyszerű és gyors. A Pause 'n Serve funkciónak köszönhetően a kiöntő könnyedén kiemelhető, a szelep azonnali lezárásával pedig elkerülhető, hogy az elkészített kávé kifolyjon. A terméken található vízmérő segítségével pontosan adagolhatja a vizet, így nem kell aggódnia a túl vagy alul adagolt kávé miatt.
A kávéfőző melegen tartó talapzata lehetővé teszi, hogy a kávé akár 40 percig meleg maradjon, és a család összes tagja kényelmesen reggelizhessen. A be / ki kapcsoló visszajelző fénye jelzi mikor működik a készülék. A termék teljesítménye 820-980 W, így gyorsan felmelegíti a vizet és készíti el a kávét.
A MIDEA® kávéfőző elegáns és modern megjelenésével, praktikus funkcióival és egyszerű használatával tökéletesen illik minden konyhába!</t>
        </is>
      </c>
    </row>
    <row r="275">
      <c r="A275" s="3" t="inlineStr">
        <is>
          <t>02CF140Z</t>
        </is>
      </c>
      <c r="B275" s="2" t="inlineStr">
        <is>
          <t>Pedrini Frida Kahlo 02CF140Z kávéfőző, 2 csésze, zöld, élelmiszeripari polírozott alumínium, gáztűzhely, elektromos- és kerámia főzőlap</t>
        </is>
      </c>
      <c r="C275" s="1" t="n">
        <v>8490.0</v>
      </c>
      <c r="D275" s="7" t="n">
        <f>HYPERLINK("https://www.somogyi.hu/product/pedrini-frida-kahlo-02cf140z-kavefozo-2-csesze-zold-elelmiszeripari-polirozott-aluminium-gaztuzhely-elektromos-es-keramia-fozolap-02cf140z-18851","https://www.somogyi.hu/product/pedrini-frida-kahlo-02cf140z-kavefozo-2-csesze-zold-elelmiszeripari-polirozott-aluminium-gaztuzhely-elektromos-es-keramia-fozolap-02cf140z-18851")</f>
        <v>0.0</v>
      </c>
      <c r="E275" s="7" t="n">
        <f>HYPERLINK("https://www.somogyi.hu/data/img/product_main_images/small/18851.jpg","https://www.somogyi.hu/data/img/product_main_images/small/18851.jpg")</f>
        <v>0.0</v>
      </c>
      <c r="F275" s="2" t="inlineStr">
        <is>
          <t>5999084968571</t>
        </is>
      </c>
      <c r="G275"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76">
      <c r="A276" s="3" t="inlineStr">
        <is>
          <t>02CF142Z</t>
        </is>
      </c>
      <c r="B276" s="2" t="inlineStr">
        <is>
          <t>Pedrini Frida Kahlo 02CF142Z kávéfőző, 6 csésze, zöld, élelmiszeripari polírozott alumínium, gáztűzhely, elektromos- és kerámia főzőlap</t>
        </is>
      </c>
      <c r="C276" s="1" t="n">
        <v>10490.0</v>
      </c>
      <c r="D276" s="7" t="n">
        <f>HYPERLINK("https://www.somogyi.hu/product/pedrini-frida-kahlo-02cf142z-kavefozo-6-csesze-zold-elelmiszeripari-polirozott-aluminium-gaztuzhely-elektromos-es-keramia-fozolap-02cf142z-18853","https://www.somogyi.hu/product/pedrini-frida-kahlo-02cf142z-kavefozo-6-csesze-zold-elelmiszeripari-polirozott-aluminium-gaztuzhely-elektromos-es-keramia-fozolap-02cf142z-18853")</f>
        <v>0.0</v>
      </c>
      <c r="E276" s="7" t="n">
        <f>HYPERLINK("https://www.somogyi.hu/data/img/product_main_images/small/18853.jpg","https://www.somogyi.hu/data/img/product_main_images/small/18853.jpg")</f>
        <v>0.0</v>
      </c>
      <c r="F276" s="2" t="inlineStr">
        <is>
          <t>5999084968595</t>
        </is>
      </c>
      <c r="G276"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77">
      <c r="A277" s="3" t="inlineStr">
        <is>
          <t>02CF142K</t>
        </is>
      </c>
      <c r="B277" s="2" t="inlineStr">
        <is>
          <t>Pedrini Frida Kahlo 02CF142K kávéfőző, 6 csésze, kék, élelmiszeripari polírozott alumínium, gáztűzhely, elektromos- és kerámia főzőlap</t>
        </is>
      </c>
      <c r="C277" s="1" t="n">
        <v>10490.0</v>
      </c>
      <c r="D277" s="7" t="n">
        <f>HYPERLINK("https://www.somogyi.hu/product/pedrini-frida-kahlo-02cf142k-kavefozo-6-csesze-kek-elelmiszeripari-polirozott-aluminium-gaztuzhely-elektromos-es-keramia-fozolap-02cf142k-18852","https://www.somogyi.hu/product/pedrini-frida-kahlo-02cf142k-kavefozo-6-csesze-kek-elelmiszeripari-polirozott-aluminium-gaztuzhely-elektromos-es-keramia-fozolap-02cf142k-18852")</f>
        <v>0.0</v>
      </c>
      <c r="E277" s="7" t="n">
        <f>HYPERLINK("https://www.somogyi.hu/data/img/product_main_images/small/18852.jpg","https://www.somogyi.hu/data/img/product_main_images/small/18852.jpg")</f>
        <v>0.0</v>
      </c>
      <c r="F277" s="2" t="inlineStr">
        <is>
          <t>5999084968588</t>
        </is>
      </c>
      <c r="G277"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78">
      <c r="A278" s="3" t="inlineStr">
        <is>
          <t>HG PR 20</t>
        </is>
      </c>
      <c r="B278" s="2" t="inlineStr">
        <is>
          <t>Home HG PR 20 eszpresszó kávéfőző, 1350 W, akár 2 csésze, csészemelegítő, tejhabosítóval akár cappuccino, érintőgombos, rozsdamentes szűrő, 1.4 liter tartály</t>
        </is>
      </c>
      <c r="C278" s="1" t="n">
        <v>39990.0</v>
      </c>
      <c r="D278" s="7" t="n">
        <f>HYPERLINK("https://www.somogyi.hu/product/home-hg-pr-20-eszpresszo-kavefozo-1350-w-akar-2-csesze-cseszemelegito-tejhabositoval-akar-cappuccino-erintogombos-rozsdamentes-szuro-1-4-liter-tartaly-hg-pr-20-17623","https://www.somogyi.hu/product/home-hg-pr-20-eszpresszo-kavefozo-1350-w-akar-2-csesze-cseszemelegito-tejhabositoval-akar-cappuccino-erintogombos-rozsdamentes-szuro-1-4-liter-tartaly-hg-pr-20-17623")</f>
        <v>0.0</v>
      </c>
      <c r="E278" s="7" t="n">
        <f>HYPERLINK("https://www.somogyi.hu/data/img/product_main_images/small/17623.jpg","https://www.somogyi.hu/data/img/product_main_images/small/17623.jpg")</f>
        <v>0.0</v>
      </c>
      <c r="F278" s="2" t="inlineStr">
        <is>
          <t>5999084956455</t>
        </is>
      </c>
      <c r="G278" s="4" t="inlineStr">
        <is>
          <t>A HG PR 20 Eszpresszó kávéfőző a konyhák elengedhetetlen eszköze, mellyel igazán krémes kávékat készíthet. Egyszerre 1 vagy 2 csésze eszpresszó kávé főzésére alkalmas. A csészemelegítőre ráhelyezheti a kávés poharakat, így azok mindig langyosak lesznek. 
A tejhabosító segítségével akár lattet vagy cappuccinot is pillanatok alatt készíthet. A kivehető víztartály 1,4 liter űrtartalmú.
A csepptálca könnyen kivehető, így tisztántartása egyszerű.</t>
        </is>
      </c>
    </row>
    <row r="279">
      <c r="A279" s="3" t="inlineStr">
        <is>
          <t>10-104-007</t>
        </is>
      </c>
      <c r="B279" s="2" t="inlineStr">
        <is>
          <t>NAVA 10-104-007 kávékiöntő, 600 ml űrtartalom, gáz-, elektromos, kerámia- és halogén tűzhelyekhez</t>
        </is>
      </c>
      <c r="C279" s="1" t="n">
        <v>4390.0</v>
      </c>
      <c r="D279" s="7" t="n">
        <f>HYPERLINK("https://www.somogyi.hu/product/nava-10-104-007-kavekionto-600-ml-urtartalom-gaz-elektromos-keramia-es-halogen-tuzhelyekhez-10-104-007-17683","https://www.somogyi.hu/product/nava-10-104-007-kavekionto-600-ml-urtartalom-gaz-elektromos-keramia-es-halogen-tuzhelyekhez-10-104-007-17683")</f>
        <v>0.0</v>
      </c>
      <c r="E279" s="7" t="n">
        <f>HYPERLINK("https://www.somogyi.hu/data/img/product_main_images/small/17683.jpg","https://www.somogyi.hu/data/img/product_main_images/small/17683.jpg")</f>
        <v>0.0</v>
      </c>
      <c r="F279" s="2" t="inlineStr">
        <is>
          <t>5205746886504</t>
        </is>
      </c>
      <c r="G279" s="4" t="inlineStr">
        <is>
          <t>Egy kávékiöntőt keres, amelyben kivételes minőségben és stílusban készítheti el reggeli kávéját? A NAVA 10-104-007 kávékiöntő tökéletes választás lehet!
Ez a 0,6 literes kávékiöntő prémium minőségű alumíniumból készült, amelyet ötrétegű, tapadásmentes kőbevonat borít, biztosítva ezzel a hosszú távú használatot és a magas hőmérsékletekkel szembeni ellenállást. A gyártás során környezetbarát módszerekre és PFOA-mentes anyagokra helyeztünk hangsúlyt, így Ön nyugodt lehet afelől, hogy a termék kíméli környezetünket.
Az ergonómikus, fa hatású fogantyú kialakítása nem csupán esztétikus, hanem praktikus is, hiszen hűvös marad még hosszantartó használat során is. A kávékiöntő sima felülete könnyen tisztítható, és kompatibilis gáz-, elektromos-, kerámia- és halogén főzőfelületekkel egyaránt. Az aljának 7 cm-es átmérője optimalizálja a hőeloszlást, így a kávé egyenletesen és gyorsan készül el.
Használata előtt egyszerűen csak mosogassa el szappanos, meleg vízzel, és kerülje a durva tisztítóeszközök használatát, hogy megőrizhesse a bevonat integritását. Ne melegítse túl, és ne hagyja üresen a tűzhelyen a kiöntőt, hogy elkerülje az esetleges károsodásokat. A kávékiöntő mosogatógépben is tisztítható, így a tisztán tartása sem jelent majd gondot.
Válassza a NAVA 10-104-007 kávékiöntőt, hogy minden napja ízletes, aromás kávéval induljon! Kényeztesse magát és szeretteit ezzel a kiváló minőségű, stílusos konyhai eszközzel, amely garantáltan élménnyé teszi a kávézást. Tegye a kosarába még ma!</t>
        </is>
      </c>
    </row>
    <row r="280">
      <c r="A280" s="6" t="inlineStr">
        <is>
          <t xml:space="preserve">   Háztartási gép, eszköz / Szendvicssütő, gofrisütő</t>
        </is>
      </c>
      <c r="B280" s="6" t="inlineStr">
        <is>
          <t/>
        </is>
      </c>
      <c r="C280" s="6" t="inlineStr">
        <is>
          <t/>
        </is>
      </c>
      <c r="D280" s="6" t="inlineStr">
        <is>
          <t/>
        </is>
      </c>
      <c r="E280" s="6" t="inlineStr">
        <is>
          <t/>
        </is>
      </c>
      <c r="F280" s="6" t="inlineStr">
        <is>
          <t/>
        </is>
      </c>
      <c r="G280" s="6" t="inlineStr">
        <is>
          <t/>
        </is>
      </c>
    </row>
    <row r="281">
      <c r="A281" s="3" t="inlineStr">
        <is>
          <t>HG GK 04</t>
        </is>
      </c>
      <c r="B281" s="2" t="inlineStr">
        <is>
          <t>Home HG GK 04 gofrikehelysütő, teljesítmény 520 W, tapadásmentes sütőfelület, piros jelzőfény</t>
        </is>
      </c>
      <c r="C281" s="1" t="n">
        <v>6590.0</v>
      </c>
      <c r="D281" s="7" t="n">
        <f>HYPERLINK("https://www.somogyi.hu/product/home-hg-gk-04-gofrikehelysuto-teljesitmeny-520-w-tapadasmentes-sutofelulet-piros-jelzofeny-hg-gk-04-15721","https://www.somogyi.hu/product/home-hg-gk-04-gofrikehelysuto-teljesitmeny-520-w-tapadasmentes-sutofelulet-piros-jelzofeny-hg-gk-04-15721")</f>
        <v>0.0</v>
      </c>
      <c r="E281" s="7" t="n">
        <f>HYPERLINK("https://www.somogyi.hu/data/img/product_main_images/small/15721.jpg","https://www.somogyi.hu/data/img/product_main_images/small/15721.jpg")</f>
        <v>0.0</v>
      </c>
      <c r="F281" s="2" t="inlineStr">
        <is>
          <t>5999084937553</t>
        </is>
      </c>
      <c r="G281" s="4" t="inlineStr">
        <is>
          <t>Akik rajonganak a finomabbnál-finomabb ínyencségekért, azoknak nem hiányozhat otthonukból a HG GK 04 gofrikehelysütő.  
Termékünk érdekessége, hogy 4 darab, rendkívül mutatós csésze alakú gofrikelyhet készíthetünk el vele egyszerre. A készülék tapadásmentes sütőfelülettel rendelkezik. A készülék előnye továbbá, hogy rendkívül könnyen tisztítható. Válassza a minőségi termékeket és rendeljen webáruházunkból!</t>
        </is>
      </c>
    </row>
    <row r="282">
      <c r="A282" s="3" t="inlineStr">
        <is>
          <t>HG GS 21</t>
        </is>
      </c>
      <c r="B282" s="2" t="inlineStr">
        <is>
          <t>Home HG GS 21 gofrisütő, teljesítmény 750 W, tapadásmentes sütőfelület, egyszerre két gofri készíthető</t>
        </is>
      </c>
      <c r="C282" s="1" t="n">
        <v>7590.0</v>
      </c>
      <c r="D282" s="7" t="n">
        <f>HYPERLINK("https://www.somogyi.hu/product/home-hg-gs-21-gofrisuto-teljesitmeny-750-w-tapadasmentes-sutofelulet-egyszerre-ket-gofri-keszitheto-hg-gs-21-16578","https://www.somogyi.hu/product/home-hg-gs-21-gofrisuto-teljesitmeny-750-w-tapadasmentes-sutofelulet-egyszerre-ket-gofri-keszitheto-hg-gs-21-16578")</f>
        <v>0.0</v>
      </c>
      <c r="E282" s="7" t="n">
        <f>HYPERLINK("https://www.somogyi.hu/data/img/product_main_images/small/16578.jpg","https://www.somogyi.hu/data/img/product_main_images/small/16578.jpg")</f>
        <v>0.0</v>
      </c>
      <c r="F282" s="2" t="inlineStr">
        <is>
          <t>5999084946104</t>
        </is>
      </c>
      <c r="G282" s="4" t="inlineStr">
        <is>
          <t>A HG GS 21 Gofrisütő teljesítménye 750 W. A mindenki által kedvelt gofrit egyszerűen készítheti el, mivel a készülék tapadásmentes sütőfelülettel rendelkezik, így garantáltan nem ragad hozzá a tészta. A gofrisütőben egyszerre két gofri is süthető. Tálaláshoz válasszon akár lekvárt vagy csoki krémet, biztosan gyorsan elfogy.</t>
        </is>
      </c>
    </row>
    <row r="283">
      <c r="A283" s="3" t="inlineStr">
        <is>
          <t>HG BG 30</t>
        </is>
      </c>
      <c r="B283" s="2" t="inlineStr">
        <is>
          <t>Home HG BG 30 bubble gofrisütő, teljesítmény 900 W, tapadásmentes sütőfelület, jelzőfények</t>
        </is>
      </c>
      <c r="C283" s="1" t="n">
        <v>7890.0</v>
      </c>
      <c r="D283" s="7" t="n">
        <f>HYPERLINK("https://www.somogyi.hu/product/home-hg-bg-30-bubble-gofrisuto-teljesitmeny-900-w-tapadasmentes-sutofelulet-jelzofenyek-hg-bg-30-17625","https://www.somogyi.hu/product/home-hg-bg-30-bubble-gofrisuto-teljesitmeny-900-w-tapadasmentes-sutofelulet-jelzofenyek-hg-bg-30-17625")</f>
        <v>0.0</v>
      </c>
      <c r="E283" s="7" t="n">
        <f>HYPERLINK("https://www.somogyi.hu/data/img/product_main_images/small/17625.jpg","https://www.somogyi.hu/data/img/product_main_images/small/17625.jpg")</f>
        <v>0.0</v>
      </c>
      <c r="F283" s="2" t="inlineStr">
        <is>
          <t>5999084956479</t>
        </is>
      </c>
      <c r="G283" s="4" t="inlineStr">
        <is>
          <t>A HG BG 30 Bubble gofrisütő teljesítménye 900 W. A mindenki által kedvelt gofrit egyszerűen készítheti el, mivel a készülék tapadásmentes sütőfelülettel rendelkezik, így garantáltan nem ragad hozzá a tészta. Egyszerre egy hatszögletű bubble- gofri készíthető, amely 30 db gofri buborékból áll. 
Tálaláshoz válasszon ízlése szerint, akár csoki krémet, lekvárt vagy fagyit.</t>
        </is>
      </c>
    </row>
    <row r="284">
      <c r="A284" s="3" t="inlineStr">
        <is>
          <t>HG P 01</t>
        </is>
      </c>
      <c r="B284" s="2" t="inlineStr">
        <is>
          <t>Home HG P 01 panini szendvicssütő, teljesítmény 750 W, tapadásmentes sütőfelület, jelzőfények</t>
        </is>
      </c>
      <c r="C284" s="1" t="n">
        <v>6890.0</v>
      </c>
      <c r="D284" s="7" t="n">
        <f>HYPERLINK("https://www.somogyi.hu/product/home-hg-p-01-panini-szendvicssuto-teljesitmeny-750-w-tapadasmentes-sutofelulet-jelzofenyek-hg-p-01-16860","https://www.somogyi.hu/product/home-hg-p-01-panini-szendvicssuto-teljesitmeny-750-w-tapadasmentes-sutofelulet-jelzofenyek-hg-p-01-16860")</f>
        <v>0.0</v>
      </c>
      <c r="E284" s="7" t="n">
        <f>HYPERLINK("https://www.somogyi.hu/data/img/product_main_images/small/16860.jpg","https://www.somogyi.hu/data/img/product_main_images/small/16860.jpg")</f>
        <v>0.0</v>
      </c>
      <c r="F284" s="2" t="inlineStr">
        <is>
          <t>5999084948924</t>
        </is>
      </c>
      <c r="G284" s="4" t="inlineStr">
        <is>
          <t>A HG P 01 Panini szendvicssütő praktikus kivitelben készült, így egyszerre két kisebb vagy egy nagyméretű szendvics készíthető benne. A szendvicssütő 750 W teljesítménnyel és sütésre kész jelzőfénnyel rendelkezik. A könnyű tisztíthatóságot a tapadásmentes sütőfelület biztosítja, így garantáltan nem ég oda a készített szendvics. 
Csatlakozókábele 80 cm hosszú.</t>
        </is>
      </c>
    </row>
    <row r="285">
      <c r="A285" s="6" t="inlineStr">
        <is>
          <t xml:space="preserve">   Háztartási gép, eszköz / Turmix, daráló</t>
        </is>
      </c>
      <c r="B285" s="6" t="inlineStr">
        <is>
          <t/>
        </is>
      </c>
      <c r="C285" s="6" t="inlineStr">
        <is>
          <t/>
        </is>
      </c>
      <c r="D285" s="6" t="inlineStr">
        <is>
          <t/>
        </is>
      </c>
      <c r="E285" s="6" t="inlineStr">
        <is>
          <t/>
        </is>
      </c>
      <c r="F285" s="6" t="inlineStr">
        <is>
          <t/>
        </is>
      </c>
      <c r="G285" s="6" t="inlineStr">
        <is>
          <t/>
        </is>
      </c>
    </row>
    <row r="286">
      <c r="A286" s="3" t="inlineStr">
        <is>
          <t>SMK150E</t>
        </is>
      </c>
      <c r="B286" s="2" t="inlineStr">
        <is>
          <t>Gorenje kávédaráló, 40 g</t>
        </is>
      </c>
      <c r="C286" s="1" t="n">
        <v>9690.0</v>
      </c>
      <c r="D286" s="7" t="n">
        <f>HYPERLINK("https://www.somogyi.hu/product/gorenje-kavedaralo-40-g-smk150e-18299","https://www.somogyi.hu/product/gorenje-kavedaralo-40-g-smk150e-18299")</f>
        <v>0.0</v>
      </c>
      <c r="E286" s="7" t="n">
        <f>HYPERLINK("https://www.somogyi.hu/data/img/product_main_images/small/18299.jpg","https://www.somogyi.hu/data/img/product_main_images/small/18299.jpg")</f>
        <v>0.0</v>
      </c>
      <c r="F286" s="2" t="inlineStr">
        <is>
          <t>3838782069109</t>
        </is>
      </c>
      <c r="G286" s="4" t="inlineStr">
        <is>
          <t xml:space="preserve"> • teljesítmény: 150 W 
 • kapacitás: darálóedény kapacitása: 40 g 
 • kés: rozsdamentes acél penge 
 • jól tapadó talpak: igen 
 • tápellátás: 230 V~ / 50 Hz 
 • méret: 8,5 x 21,5 x 10,5 cm 
 • tömeg: 0,8 kg 
 • biztonsági kapcsoló: igen 
 • túlmelegedés elleni védelem: igen 
 • egyéb: kábeltároló hely</t>
        </is>
      </c>
    </row>
    <row r="287">
      <c r="A287" s="3" t="inlineStr">
        <is>
          <t>B800ORAB</t>
        </is>
      </c>
      <c r="B287" s="2" t="inlineStr">
        <is>
          <t>Gorenje turmixgép - ORA-ITO design</t>
        </is>
      </c>
      <c r="C287" s="1" t="n">
        <v>25590.0</v>
      </c>
      <c r="D287" s="7" t="n">
        <f>HYPERLINK("https://www.somogyi.hu/product/gorenje-turmixgep-ora-ito-design-b800orab-18293","https://www.somogyi.hu/product/gorenje-turmixgep-ora-ito-design-b800orab-18293")</f>
        <v>0.0</v>
      </c>
      <c r="E287" s="7" t="n">
        <f>HYPERLINK("https://www.somogyi.hu/data/img/product_main_images/small/18293.jpg","https://www.somogyi.hu/data/img/product_main_images/small/18293.jpg")</f>
        <v>0.0</v>
      </c>
      <c r="F287" s="2" t="inlineStr">
        <is>
          <t>3838782129575</t>
        </is>
      </c>
      <c r="G287" s="4" t="inlineStr">
        <is>
          <t xml:space="preserve"> • teljesítmény: 800 W 
 • sebességfokozatok: 3 sebességfokozat - turbo gomb 
 • kés: rozsdamentes acél penge 
 • kehely: 1,5 literes mérőskálás műanyag kehely 
 • tápellátás: 230 V~ / 50 Hz 
 • méret: 21 x 41,5 x 14 cm 
 • tömeg: 2,4 kg 
 • szín: fekete 
 • egyéb: nyomógombos vezérlés</t>
        </is>
      </c>
    </row>
    <row r="288">
      <c r="A288" s="3" t="inlineStr">
        <is>
          <t>BSM600E</t>
        </is>
      </c>
      <c r="B288" s="2" t="inlineStr">
        <is>
          <t>Gorenje smoothie maker</t>
        </is>
      </c>
      <c r="C288" s="1" t="n">
        <v>13590.0</v>
      </c>
      <c r="D288" s="7" t="n">
        <f>HYPERLINK("https://www.somogyi.hu/product/gorenje-smoothie-maker-bsm600e-18296","https://www.somogyi.hu/product/gorenje-smoothie-maker-bsm600e-18296")</f>
        <v>0.0</v>
      </c>
      <c r="E288" s="7" t="n">
        <f>HYPERLINK("https://www.somogyi.hu/data/img/product_main_images/small/18296.jpg","https://www.somogyi.hu/data/img/product_main_images/small/18296.jpg")</f>
        <v>0.0</v>
      </c>
      <c r="F288" s="2" t="inlineStr">
        <is>
          <t>3838782512803</t>
        </is>
      </c>
      <c r="G288" s="4" t="inlineStr">
        <is>
          <t xml:space="preserve"> • teljesítmény: 320 W 
 • kés: kiváló minőségű négyes pengerendszer 
 • kehely: hordozható kehely 
 • tartozékok: 2 db kehely tartozék 
 • tápellátás: 230 V~ / 50 Hz 
 • méret: 13 x 40 x 17 cm 
 • tömeg: 1,5 kg 
 • szín: inox 
 • egyéb: start gomb</t>
        </is>
      </c>
    </row>
    <row r="289">
      <c r="A289" s="3" t="inlineStr">
        <is>
          <t>HG KD 75</t>
        </is>
      </c>
      <c r="B289" s="2" t="inlineStr">
        <is>
          <t>Home HG KD 75 kávédaráló, teljesítmény 150 W, rozsdamentes tartály és kések, 75 g kapacitás</t>
        </is>
      </c>
      <c r="C289" s="1" t="n">
        <v>7890.0</v>
      </c>
      <c r="D289" s="7" t="n">
        <f>HYPERLINK("https://www.somogyi.hu/product/home-hg-kd-75-kavedaralo-teljesitmeny-150-w-rozsdamentes-tartaly-es-kesek-75-g-kapacitas-hg-kd-75-17063","https://www.somogyi.hu/product/home-hg-kd-75-kavedaralo-teljesitmeny-150-w-rozsdamentes-tartaly-es-kesek-75-g-kapacitas-hg-kd-75-17063")</f>
        <v>0.0</v>
      </c>
      <c r="E289" s="7" t="n">
        <f>HYPERLINK("https://www.somogyi.hu/data/img/product_main_images/small/17063.jpg","https://www.somogyi.hu/data/img/product_main_images/small/17063.jpg")</f>
        <v>0.0</v>
      </c>
      <c r="F289" s="2" t="inlineStr">
        <is>
          <t>5999084950958</t>
        </is>
      </c>
      <c r="G289" s="4" t="inlineStr">
        <is>
          <t>A HG KD 75 Kávédaráló 75 g szemes kávé darálását biztosítja egyszerre. Rozsdamentes tartállyal és késekkel ellátott a hosszú távú használhatóság érdekében. A készülék nagy előnye, hogy egyszerű és biztonságos a kezelése, illetve könnyű a tisztítása. 
A frissen darált kávé növeli az íz élményt, így minden kávézás alkalmával egy kávézóban érezheti magát.</t>
        </is>
      </c>
    </row>
    <row r="290">
      <c r="A290" s="6" t="inlineStr">
        <is>
          <t xml:space="preserve">   Háztartási gép, eszköz / Univerzális robotgép</t>
        </is>
      </c>
      <c r="B290" s="6" t="inlineStr">
        <is>
          <t/>
        </is>
      </c>
      <c r="C290" s="6" t="inlineStr">
        <is>
          <t/>
        </is>
      </c>
      <c r="D290" s="6" t="inlineStr">
        <is>
          <t/>
        </is>
      </c>
      <c r="E290" s="6" t="inlineStr">
        <is>
          <t/>
        </is>
      </c>
      <c r="F290" s="6" t="inlineStr">
        <is>
          <t/>
        </is>
      </c>
      <c r="G290" s="6" t="inlineStr">
        <is>
          <t/>
        </is>
      </c>
    </row>
    <row r="291">
      <c r="A291" s="3" t="inlineStr">
        <is>
          <t>MJ-KM6001W</t>
        </is>
      </c>
      <c r="B291" s="2" t="inlineStr">
        <is>
          <t>Midea MJ-KM6001W konyhai robotgép, 600 W, ABS burkolat, 4 literes rozsdamentes keverőtál, antracit</t>
        </is>
      </c>
      <c r="C291" s="1" t="n">
        <v>38890.0</v>
      </c>
      <c r="D291" s="7" t="n">
        <f>HYPERLINK("https://www.somogyi.hu/product/midea-mj-km6001w-konyhai-robotgep-600-w-abs-burkolat-4-literes-rozsdamentes-keverotal-antracit-mj-km6001w-17810","https://www.somogyi.hu/product/midea-mj-km6001w-konyhai-robotgep-600-w-abs-burkolat-4-literes-rozsdamentes-keverotal-antracit-mj-km6001w-17810")</f>
        <v>0.0</v>
      </c>
      <c r="E291" s="7" t="n">
        <f>HYPERLINK("https://www.somogyi.hu/data/img/product_main_images/small/17810.jpg","https://www.somogyi.hu/data/img/product_main_images/small/17810.jpg")</f>
        <v>0.0</v>
      </c>
      <c r="F291" s="2" t="inlineStr">
        <is>
          <t>6939962772325</t>
        </is>
      </c>
      <c r="G291" s="4" t="inlineStr">
        <is>
          <t>Fedezze fel a sokoldalú, 600 W erőteljes teljesítményű MIDEA konyhai robotgépet, amely tökéletes segítője lesz a konyhában! Ez a robotgép fényes hatású ABS műanyag burkolattal készült, amely stílust és tartósságot kölcsönöz. A 4 literes rozsdamentes keverőtál elegendő helyet biztosít nagyobb adag tészták elkészítéséhez. A 6-fokozatú elektromos sebességállítás, illetve az alaptartozékok: dagasztókar, habverő és keverő sokoldalú felhasználást tesznek lehetővé. A felnyíló fejrészének köszönhetően könnyen hozzáfér a keverőtálhoz és a tartozékokhoz.  A tapadókorongos talpak miatt a termék működése stabil és csúszásmentes. Tegye könnyebbé és élvezetesebbé a konyhai tevékenységeket gépünkkel!</t>
        </is>
      </c>
    </row>
    <row r="292">
      <c r="A292" s="6" t="inlineStr">
        <is>
          <t xml:space="preserve">   Háztartási gép, eszköz / Vízforraló</t>
        </is>
      </c>
      <c r="B292" s="6" t="inlineStr">
        <is>
          <t/>
        </is>
      </c>
      <c r="C292" s="6" t="inlineStr">
        <is>
          <t/>
        </is>
      </c>
      <c r="D292" s="6" t="inlineStr">
        <is>
          <t/>
        </is>
      </c>
      <c r="E292" s="6" t="inlineStr">
        <is>
          <t/>
        </is>
      </c>
      <c r="F292" s="6" t="inlineStr">
        <is>
          <t/>
        </is>
      </c>
      <c r="G292" s="6" t="inlineStr">
        <is>
          <t/>
        </is>
      </c>
    </row>
    <row r="293">
      <c r="A293" s="3" t="inlineStr">
        <is>
          <t>HG VF 05</t>
        </is>
      </c>
      <c r="B293" s="2" t="inlineStr">
        <is>
          <t>Home HG VF 05 vízforraló, teljesítmény 2000 W, 1,2 literes víztartály, 360°-ban forgatható állvány, rejtett fűtőszál, fehér</t>
        </is>
      </c>
      <c r="C293" s="1" t="n">
        <v>6590.0</v>
      </c>
      <c r="D293" s="7" t="n">
        <f>HYPERLINK("https://www.somogyi.hu/product/home-hg-vf-05-vizforralo-teljesitmeny-2000-w-1-2-literes-viztartaly-360-ban-forgathato-allvany-rejtett-futoszal-feher-hg-vf-05-17072","https://www.somogyi.hu/product/home-hg-vf-05-vizforralo-teljesitmeny-2000-w-1-2-literes-viztartaly-360-ban-forgathato-allvany-rejtett-futoszal-feher-hg-vf-05-17072")</f>
        <v>0.0</v>
      </c>
      <c r="E293" s="7" t="n">
        <f>HYPERLINK("https://www.somogyi.hu/data/img/product_main_images/small/17072.jpg","https://www.somogyi.hu/data/img/product_main_images/small/17072.jpg")</f>
        <v>0.0</v>
      </c>
      <c r="F293" s="2" t="inlineStr">
        <is>
          <t>5999084951047</t>
        </is>
      </c>
      <c r="G293" s="4" t="inlineStr">
        <is>
          <t>Az elektromos vízforraló 2000 W-os teljesítményű, kivehető vízszűrővel ellátott, az 1,2 literes víztartály, amely cseppmentes folyadék kiöntést garantál.
Rejtett fűtőszállal pillanatokon belül vizet forral a konyhájába, de szívesen alkalmazzák olyan helyeken is, ahol nincs lehetőség forralásra, melegítésre.
Praktikus eszközzé válik kempingezésnél, kollégiumban, hétvégi házaknál, és építési területeken, a hideg napokon rövid idő alatt forró teát, instant levest, védőitalt varázsol a munkások poharába.</t>
        </is>
      </c>
    </row>
    <row r="294">
      <c r="A294" s="3" t="inlineStr">
        <is>
          <t>MK-15H01A</t>
        </is>
      </c>
      <c r="B294" s="2" t="inlineStr">
        <is>
          <t>Midea MK-15H01A vízforraló, max. 2200 W, 1,5 L, duplafalú, fehér-fekete</t>
        </is>
      </c>
      <c r="C294" s="1" t="n">
        <v>12890.0</v>
      </c>
      <c r="D294" s="7" t="n">
        <f>HYPERLINK("https://www.somogyi.hu/product/midea-mk-15h01a-vizforralo-max-2200-w-1-5-l-duplafalu-feher-fekete-mk-15h01a-17805","https://www.somogyi.hu/product/midea-mk-15h01a-vizforralo-max-2200-w-1-5-l-duplafalu-feher-fekete-mk-15h01a-17805")</f>
        <v>0.0</v>
      </c>
      <c r="E294" s="7" t="n">
        <f>HYPERLINK("https://www.somogyi.hu/data/img/product_main_images/small/17805.jpg","https://www.somogyi.hu/data/img/product_main_images/small/17805.jpg")</f>
        <v>0.0</v>
      </c>
      <c r="F294" s="2" t="inlineStr">
        <is>
          <t>6939962757636</t>
        </is>
      </c>
      <c r="G294" s="4" t="inlineStr">
        <is>
          <t>Az 1850-2200 W teljesítményű MIDEA vízforraló a CoolTouch technológiának és a duplafalú burkolatnak köszönhetően kívül hideg marad, míg belül a víz rendkívül gyorsan felforr. A tágas tartály könnyen tisztítható és vízkőteleníthető, így a vízforraló hosszú távon is kifogástalanul működik. A forraló fedelét gombnyomásra könnyedén felnyithatja. A 1,5 literes kapacitású termék rozsdamentes acél belső felülete varratmentes, ami szintén segíti a tisztítást.</t>
        </is>
      </c>
    </row>
    <row r="295">
      <c r="A295" s="3" t="inlineStr">
        <is>
          <t>MK-17G03A2</t>
        </is>
      </c>
      <c r="B295" s="2" t="inlineStr">
        <is>
          <t>Midea MK-17G03A2 üveg vízforraló, max. 2200 W, 1,7 literes, vezetéktároló, kék megvilágítás</t>
        </is>
      </c>
      <c r="C295" s="1" t="n">
        <v>11990.0</v>
      </c>
      <c r="D295" s="7" t="n">
        <f>HYPERLINK("https://www.somogyi.hu/product/midea-mk-17g03a2-uveg-vizforralo-max-2200-w-1-7-literes-vezetektarolo-kek-megvilagitas-mk-17g03a2-17803","https://www.somogyi.hu/product/midea-mk-17g03a2-uveg-vizforralo-max-2200-w-1-7-literes-vezetektarolo-kek-megvilagitas-mk-17g03a2-17803")</f>
        <v>0.0</v>
      </c>
      <c r="E295" s="7" t="n">
        <f>HYPERLINK("https://www.somogyi.hu/data/img/product_main_images/small/17803.jpg","https://www.somogyi.hu/data/img/product_main_images/small/17803.jpg")</f>
        <v>0.0</v>
      </c>
      <c r="F295" s="2" t="inlineStr">
        <is>
          <t>6939962764320</t>
        </is>
      </c>
      <c r="G295" s="4" t="inlineStr">
        <is>
          <t>A MIDEA üveg vízforraló rozsdamentes díszítőelemekkel és 1,7 literes nagy kapacitással rendelkezik. Könnyedén és gyorsan forralt vizet kap, hiszen a készülék 1850-2200 Wattos teljesítménnyel működik. A gombnyomásra nyíló fedél kényelmes használatot, míg a vezetéktároló könnyű, rendezett tárolást eredményez. Igazán stílusossá a kék körös megvilágítás teszi a terméket.</t>
        </is>
      </c>
    </row>
    <row r="296">
      <c r="A296" s="3" t="inlineStr">
        <is>
          <t>HG VF 04</t>
        </is>
      </c>
      <c r="B296" s="2" t="inlineStr">
        <is>
          <t>Home HG VF 04 vízforraló, teljesítmény 2000 W, 1,7 literes víztartály, 360°-ban forgatható állvány, rejtett fűtőszál, duplafalú</t>
        </is>
      </c>
      <c r="C296" s="1" t="n">
        <v>9190.0</v>
      </c>
      <c r="D296" s="7" t="n">
        <f>HYPERLINK("https://www.somogyi.hu/product/home-hg-vf-04-vizforralo-teljesitmeny-2000-w-1-7-literes-viztartaly-360-ban-forgathato-allvany-rejtett-futoszal-duplafalu-hg-vf-04-15231","https://www.somogyi.hu/product/home-hg-vf-04-vizforralo-teljesitmeny-2000-w-1-7-literes-viztartaly-360-ban-forgathato-allvany-rejtett-futoszal-duplafalu-hg-vf-04-15231")</f>
        <v>0.0</v>
      </c>
      <c r="E296" s="7" t="n">
        <f>HYPERLINK("https://www.somogyi.hu/data/img/product_main_images/small/15231.jpg","https://www.somogyi.hu/data/img/product_main_images/small/15231.jpg")</f>
        <v>0.0</v>
      </c>
      <c r="F296" s="2" t="inlineStr">
        <is>
          <t>5999084932657</t>
        </is>
      </c>
      <c r="G296" s="4" t="inlineStr">
        <is>
          <t>Ön is rajong a teázásért? Esetleg szereti a napot egy pohár forró teával indítani? Ez esetben ne legyen ez másképp a jövőben sem. A HG VF 04 típusú 1,7 literes vízforraló segítségével gyorsan, szinte pillanatok alatt felforralhatja a vizet és szinte már készen is van a teája.
A HG VF 04 kiváló választás a mindennapokban, mivel duplafalú, műanyag-rozsdamentes kivitele garantálja a sok-sok éves használatot. A komfortos használatot bizonyítja, hogy a készülék 360°-ban forgatható állvánnyal van ellátva, továbbá, hogy a víz kiöntése cseppenésmentesen megoldható. Előnye továbbá a könnyű tisztítás, illetve, hogy a víz gyors felforralását egy rejtett fűtőszál biztosítja. Válassza a minőségi termékeket és rendeljen webáruházunkból!</t>
        </is>
      </c>
    </row>
    <row r="297">
      <c r="A297" s="6" t="inlineStr">
        <is>
          <t xml:space="preserve">   Háztartási gép, eszköz / Porszívó</t>
        </is>
      </c>
      <c r="B297" s="6" t="inlineStr">
        <is>
          <t/>
        </is>
      </c>
      <c r="C297" s="6" t="inlineStr">
        <is>
          <t/>
        </is>
      </c>
      <c r="D297" s="6" t="inlineStr">
        <is>
          <t/>
        </is>
      </c>
      <c r="E297" s="6" t="inlineStr">
        <is>
          <t/>
        </is>
      </c>
      <c r="F297" s="6" t="inlineStr">
        <is>
          <t/>
        </is>
      </c>
      <c r="G297" s="6" t="inlineStr">
        <is>
          <t/>
        </is>
      </c>
    </row>
    <row r="298">
      <c r="A298" s="3" t="inlineStr">
        <is>
          <t>VCEA11CXWII</t>
        </is>
      </c>
      <c r="B298" s="2" t="inlineStr">
        <is>
          <t>Gorenje porzsákos porszívó</t>
        </is>
      </c>
      <c r="C298" s="1" t="n">
        <v>26390.0</v>
      </c>
      <c r="D298" s="7" t="n">
        <f>HYPERLINK("https://www.somogyi.hu/product/gorenje-porzsakos-porszivo-vcea11cxwii-16739","https://www.somogyi.hu/product/gorenje-porzsakos-porszivo-vcea11cxwii-16739")</f>
        <v>0.0</v>
      </c>
      <c r="E298" s="7" t="n">
        <f>HYPERLINK("https://www.somogyi.hu/data/img/product_main_images/small/16739.jpg","https://www.somogyi.hu/data/img/product_main_images/small/16739.jpg")</f>
        <v>0.0</v>
      </c>
      <c r="F298" s="2" t="inlineStr">
        <is>
          <t>3838782089077</t>
        </is>
      </c>
      <c r="G298" s="4" t="inlineStr">
        <is>
          <t xml:space="preserve"> • teljesítmény: 750 W 
 • porzsák kapacitása: 2 L, papír porzsák 
 • kábelfelcsévélés: igen 
 • szívócső: összetoldható, műanyag cső,  
 • 1 db univerzális szívófej 
 • teljesítmény szabályozás: igen (tekerőgombos) 
 • tápellátás: 230 V~ / 50 Hz 
 • HEPA szűrő: igen 
 • lágy motorindítás: igen 
 • zajszint: 78 dB(A) 
 • méret: 35 × 21,5 × 26 cm 
 • csatlakozókábel hossza: 5 m 
 • súly: 3,3 kg 
 • egyéb: porzsáktelítettség jelző • kábelfelcsévélés • gumikerekek száma: 3</t>
        </is>
      </c>
    </row>
    <row r="299">
      <c r="A299" s="3" t="inlineStr">
        <is>
          <t>DXVA19-4201</t>
        </is>
      </c>
      <c r="B299" s="2" t="inlineStr">
        <is>
          <t>DeWALT DXVA19-4201 porzsák, 23 liter - 38 liter, 3db</t>
        </is>
      </c>
      <c r="C299" s="1" t="n">
        <v>7490.0</v>
      </c>
      <c r="D299" s="7" t="n">
        <f>HYPERLINK("https://www.somogyi.hu/product/dewalt-dxva19-4201-porzsak-23-liter-38-liter-3db-dxva19-4201-18261","https://www.somogyi.hu/product/dewalt-dxva19-4201-porzsak-23-liter-38-liter-3db-dxva19-4201-18261")</f>
        <v>0.0</v>
      </c>
      <c r="E299" s="7" t="n">
        <f>HYPERLINK("https://www.somogyi.hu/data/img/product_main_images/small/18261.jpg","https://www.somogyi.hu/data/img/product_main_images/small/18261.jpg")</f>
        <v>0.0</v>
      </c>
      <c r="F299" s="2" t="inlineStr">
        <is>
          <t>0810018920012</t>
        </is>
      </c>
      <c r="G299" s="4" t="inlineStr">
        <is>
          <t xml:space="preserve"> • tulajdonság: DeWalt porzsák • 23 liter-38 liter</t>
        </is>
      </c>
    </row>
    <row r="300">
      <c r="A300" s="3" t="inlineStr">
        <is>
          <t>DXV25S</t>
        </is>
      </c>
      <c r="B300" s="2" t="inlineStr">
        <is>
          <t>DeWALT DXV25S száraz-nedves porszívó, rozsdamentes váz, 25 liter, 15 Kpa, 37,8 l/s, 8 tartozék, 1050 W</t>
        </is>
      </c>
      <c r="C300" s="1" t="n">
        <v>63390.0</v>
      </c>
      <c r="D300" s="7" t="n">
        <f>HYPERLINK("https://www.somogyi.hu/product/dewalt-dxv25s-szaraz-nedves-porszivo-rozsdamentes-vaz-25-liter-15-kpa-37-8-l-s-8-tartozek-1050-w-dxv25s-18255","https://www.somogyi.hu/product/dewalt-dxv25s-szaraz-nedves-porszivo-rozsdamentes-vaz-25-liter-15-kpa-37-8-l-s-8-tartozek-1050-w-dxv25s-18255")</f>
        <v>0.0</v>
      </c>
      <c r="E300" s="7" t="n">
        <f>HYPERLINK("https://www.somogyi.hu/data/img/product_main_images/small/18255.jpg","https://www.somogyi.hu/data/img/product_main_images/small/18255.jpg")</f>
        <v>0.0</v>
      </c>
      <c r="F300" s="2" t="inlineStr">
        <is>
          <t>6921183001650</t>
        </is>
      </c>
      <c r="G300" s="4" t="inlineStr">
        <is>
          <t>Egy megbízható porszívót keres, ami száraz és nedves felületeken is egyaránt hatékony? 
A DeWALT DXV25S száraz-nedves porszívó tökéletes választás lehet Önnek. 25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DXV25S száraz-nedves porszívót, és élvezze a hatékony, problémamentes takarítást!</t>
        </is>
      </c>
    </row>
    <row r="301">
      <c r="A301" s="3" t="inlineStr">
        <is>
          <t>DXV20P</t>
        </is>
      </c>
      <c r="B301" s="2" t="inlineStr">
        <is>
          <t>DeWALT DXV20P száraz-nedves porszívó, 20 liter, 15 Kpa, 37,8 l/s, 8 tartozék, 1050 W</t>
        </is>
      </c>
      <c r="C301" s="1" t="n">
        <v>55390.0</v>
      </c>
      <c r="D301" s="7" t="n">
        <f>HYPERLINK("https://www.somogyi.hu/product/dewalt-dxv20p-szaraz-nedves-porszivo-20-liter-15-kpa-37-8-l-s-8-tartozek-1050-w-dxv20p-18254","https://www.somogyi.hu/product/dewalt-dxv20p-szaraz-nedves-porszivo-20-liter-15-kpa-37-8-l-s-8-tartozek-1050-w-dxv20p-18254")</f>
        <v>0.0</v>
      </c>
      <c r="E301" s="7" t="n">
        <f>HYPERLINK("https://www.somogyi.hu/data/img/product_main_images/small/18254.jpg","https://www.somogyi.hu/data/img/product_main_images/small/18254.jpg")</f>
        <v>0.0</v>
      </c>
      <c r="F301" s="2" t="inlineStr">
        <is>
          <t>6921183087630</t>
        </is>
      </c>
      <c r="G301" s="4" t="inlineStr">
        <is>
          <t>Egy megbízható porszívót keres, ami száraz és nedves felületeken is egyaránt hatékony? 
A DeWALT DXV20P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 száraz-nedves porszívót, és élvezze a hatékony, problémamentes takarítást!</t>
        </is>
      </c>
    </row>
    <row r="302">
      <c r="A302" s="3" t="inlineStr">
        <is>
          <t>DXVC4001</t>
        </is>
      </c>
      <c r="B302" s="2" t="inlineStr">
        <is>
          <t>DeWALT DXVC4001 filter, hagyományos</t>
        </is>
      </c>
      <c r="C302" s="1" t="n">
        <v>9690.0</v>
      </c>
      <c r="D302" s="7" t="n">
        <f>HYPERLINK("https://www.somogyi.hu/product/dewalt-dxvc4001-filter-hagyomanyos-dxvc4001-18260","https://www.somogyi.hu/product/dewalt-dxvc4001-filter-hagyomanyos-dxvc4001-18260")</f>
        <v>0.0</v>
      </c>
      <c r="E302" s="7" t="n">
        <f>HYPERLINK("https://www.somogyi.hu/data/img/product_main_images/small/18260.jpg","https://www.somogyi.hu/data/img/product_main_images/small/18260.jpg")</f>
        <v>0.0</v>
      </c>
      <c r="F302" s="2" t="inlineStr">
        <is>
          <t>6921183097080</t>
        </is>
      </c>
      <c r="G302" s="4" t="inlineStr">
        <is>
          <t xml:space="preserve"> • tulajdonság: DeWalt filter, hagyományos</t>
        </is>
      </c>
    </row>
    <row r="303">
      <c r="A303" s="3" t="inlineStr">
        <is>
          <t>DXVA19-4204</t>
        </is>
      </c>
      <c r="B303" s="2" t="inlineStr">
        <is>
          <t>DeWALT DXVA19-4204 porzsák, 20 liter - 30 liter, 3db</t>
        </is>
      </c>
      <c r="C303" s="1" t="n">
        <v>7490.0</v>
      </c>
      <c r="D303" s="7" t="n">
        <f>HYPERLINK("https://www.somogyi.hu/product/dewalt-dxva19-4204-porzsak-20-liter-30-liter-3db-dxva19-4204-18262","https://www.somogyi.hu/product/dewalt-dxva19-4204-porzsak-20-liter-30-liter-3db-dxva19-4204-18262")</f>
        <v>0.0</v>
      </c>
      <c r="E303" s="7" t="n">
        <f>HYPERLINK("https://www.somogyi.hu/data/img/product_main_images/small/18262.jpg","https://www.somogyi.hu/data/img/product_main_images/small/18262.jpg")</f>
        <v>0.0</v>
      </c>
      <c r="F303" s="2" t="inlineStr">
        <is>
          <t>6921183097165</t>
        </is>
      </c>
      <c r="G303" s="4" t="inlineStr">
        <is>
          <t xml:space="preserve"> • tulajdonság: DeWalt porzsák • 20 liter-30 liter</t>
        </is>
      </c>
    </row>
    <row r="304">
      <c r="A304" s="3" t="inlineStr">
        <is>
          <t>DXV30SAPTA</t>
        </is>
      </c>
      <c r="B304" s="2" t="inlineStr">
        <is>
          <t>DeWALT DXV30SAPTA száraz-nedves porszívó, rozsdamentes váz, készülékcsatlakozóval, 30 liter, 15 Kpa, 37,8 l/s, 8 tartozék, 1050 W</t>
        </is>
      </c>
      <c r="C304" s="1" t="n">
        <v>79290.0</v>
      </c>
      <c r="D304" s="7" t="n">
        <f>HYPERLINK("https://www.somogyi.hu/product/dewalt-dxv30sapta-szaraz-nedves-porszivo-rozsdamentes-vaz-keszulekcsatlakozoval-30-liter-15-kpa-37-8-l-s-8-tartozek-1050-w-dxv30sapta-18257","https://www.somogyi.hu/product/dewalt-dxv30sapta-szaraz-nedves-porszivo-rozsdamentes-vaz-keszulekcsatlakozoval-30-liter-15-kpa-37-8-l-s-8-tartozek-1050-w-dxv30sapta-18257")</f>
        <v>0.0</v>
      </c>
      <c r="E304" s="7" t="n">
        <f>HYPERLINK("https://www.somogyi.hu/data/img/product_main_images/small/18257.jpg","https://www.somogyi.hu/data/img/product_main_images/small/18257.jpg")</f>
        <v>0.0</v>
      </c>
      <c r="F304" s="2" t="inlineStr">
        <is>
          <t>6921183087678</t>
        </is>
      </c>
      <c r="G304" s="4" t="inlineStr">
        <is>
          <t>Egy megbízható porszívót keres, ami száraz és nedves felületeken is egyaránt hatékony?
A DeWALT DXV30SAPTA száraz-nedves porszívó tökéletes választás lehet Önnek. 30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DXV30SAPTA száraz-nedves porszívót, és élvezze a hatékony, problémamentes takarítást!</t>
        </is>
      </c>
    </row>
    <row r="305">
      <c r="A305" s="3" t="inlineStr">
        <is>
          <t>SC 1200 W</t>
        </is>
      </c>
      <c r="B305" s="2" t="inlineStr">
        <is>
          <t>Gorenje Gőztisztító</t>
        </is>
      </c>
      <c r="C305" s="1" t="n">
        <v>32290.0</v>
      </c>
      <c r="D305" s="7" t="n">
        <f>HYPERLINK("https://www.somogyi.hu/product/gorenje-goztisztito-sc-1200-w-17662","https://www.somogyi.hu/product/gorenje-goztisztito-sc-1200-w-17662")</f>
        <v>0.0</v>
      </c>
      <c r="E305" s="7" t="n">
        <f>HYPERLINK("https://www.somogyi.hu/data/img/product_main_images/small/17662.jpg","https://www.somogyi.hu/data/img/product_main_images/small/17662.jpg")</f>
        <v>0.0</v>
      </c>
      <c r="F305" s="2" t="inlineStr">
        <is>
          <t>3838782466045</t>
        </is>
      </c>
      <c r="G305" s="4" t="inlineStr">
        <is>
          <t xml:space="preserve"> • szín: fehér 
 • teljesítmény: 1200 W 
 • kábelfelcsévélés: kábeltároló egység a könnyű tárolásért 
 • teljesítmény szabályozás: 2 gőzölési szint (alacsony és intenzív) 
 • tápellátás: 230 V~ / 50 Hz 
 • méret: 27,5 x 113 x 15,2 cm 
 • csatlakozókábel hossza: 5 m 
 • tartozék: 2 db mikroszálas kendő 
 • egyéb: könnyű és kompakt • 350 ml víztartály • 25 másodperc alatt gőzölésre kész</t>
        </is>
      </c>
    </row>
    <row r="306">
      <c r="A306" s="3" t="inlineStr">
        <is>
          <t>DXVA19-1300</t>
        </is>
      </c>
      <c r="B306" s="2" t="inlineStr">
        <is>
          <t>DeWALT DXVA19-1300 porszívófej, utility fej, 48 mm</t>
        </is>
      </c>
      <c r="C306" s="1" t="n">
        <v>3790.0</v>
      </c>
      <c r="D306" s="7" t="n">
        <f>HYPERLINK("https://www.somogyi.hu/product/dewalt-dxva19-1300-porszivofej-utility-fej-48-mm-dxva19-1300-18269","https://www.somogyi.hu/product/dewalt-dxva19-1300-porszivofej-utility-fej-48-mm-dxva19-1300-18269")</f>
        <v>0.0</v>
      </c>
      <c r="E306" s="7" t="n">
        <f>HYPERLINK("https://www.somogyi.hu/data/img/product_main_images/small/18269.jpg","https://www.somogyi.hu/data/img/product_main_images/small/18269.jpg")</f>
        <v>0.0</v>
      </c>
      <c r="F306" s="2" t="inlineStr">
        <is>
          <t>6921183097318</t>
        </is>
      </c>
      <c r="G306" s="4" t="inlineStr">
        <is>
          <t xml:space="preserve"> • tulajdonság: DeWalt porszívófej • utility fej • 48 mm</t>
        </is>
      </c>
    </row>
    <row r="307">
      <c r="A307" s="3" t="inlineStr">
        <is>
          <t>DXVA19-1900D</t>
        </is>
      </c>
      <c r="B307" s="2" t="inlineStr">
        <is>
          <t>DeWALT DXVA19-1900D padlótisztító fej, 48 mm</t>
        </is>
      </c>
      <c r="C307" s="1" t="n">
        <v>5590.0</v>
      </c>
      <c r="D307" s="7" t="n">
        <f>HYPERLINK("https://www.somogyi.hu/product/dewalt-dxva19-1900d-padlotisztito-fej-48-mm-dxva19-1900d-18267","https://www.somogyi.hu/product/dewalt-dxva19-1900d-padlotisztito-fej-48-mm-dxva19-1900d-18267")</f>
        <v>0.0</v>
      </c>
      <c r="E307" s="7" t="n">
        <f>HYPERLINK("https://www.somogyi.hu/data/img/product_main_images/small/18267.jpg","https://www.somogyi.hu/data/img/product_main_images/small/18267.jpg")</f>
        <v>0.0</v>
      </c>
      <c r="F307" s="2" t="inlineStr">
        <is>
          <t>6921183097356</t>
        </is>
      </c>
      <c r="G307" s="4" t="inlineStr">
        <is>
          <t xml:space="preserve"> • tulajdonság: DeWalt porszívófej • padlótisztító fej • 48 mm</t>
        </is>
      </c>
    </row>
    <row r="308">
      <c r="A308" s="3" t="inlineStr">
        <is>
          <t>SVC144FBK</t>
        </is>
      </c>
      <c r="B308" s="2" t="inlineStr">
        <is>
          <t>Gorenje álló porszívó 2in1</t>
        </is>
      </c>
      <c r="C308" s="1" t="n">
        <v>44190.0</v>
      </c>
      <c r="D308" s="7" t="n">
        <f>HYPERLINK("https://www.somogyi.hu/product/gorenje-allo-porszivo-2in1-svc144fbk-18294","https://www.somogyi.hu/product/gorenje-allo-porszivo-2in1-svc144fbk-18294")</f>
        <v>0.0</v>
      </c>
      <c r="E308" s="7" t="n">
        <f>HYPERLINK("https://www.somogyi.hu/data/img/product_main_images/small/18294.jpg","https://www.somogyi.hu/data/img/product_main_images/small/18294.jpg")</f>
        <v>0.0</v>
      </c>
      <c r="F308" s="2" t="inlineStr">
        <is>
          <t>3838782029400</t>
        </is>
      </c>
      <c r="G308" s="4" t="inlineStr">
        <is>
          <t xml:space="preserve"> • szín: fekete 
 • teljesítmény: 95 W 
 • tartály űrtartalma: 0,6 liter 
 • padlókefe: elektromos turbó 
 • légszállítás: 10,5 l/s 
 • telítettségjelzés: akkumulátor telítettség jelző 
 • teljesítmény szabályozás: a fogantyún 
 • tápellátás: Li-Ion akku 14,4V 
 • HEPA szűrő: van 
 • lágy motorindítás: igen 
 • zajszint: 80 dB(A) 
 • méret: 26 x 118 x 17 cm 
 • súly: 3 kg 
 • jellemzők: gumi kerekek • egyszerű tárolhatóság - összecsukható  • LED világítás 
 • tulajdonság: 2in1 porszívó   morzsaporszívó • porzsák nélküli kivitel • vezeték nélküli működés 
 • töltési állapot kijelzés: igen 
 • működési / töltési idő: max. teljesítmény: kb.20 perc, min.teljesítmény: kb.50 perc / 6 óra</t>
        </is>
      </c>
    </row>
    <row r="309">
      <c r="A309" s="3" t="inlineStr">
        <is>
          <t>DXV20PTA</t>
        </is>
      </c>
      <c r="B309" s="2" t="inlineStr">
        <is>
          <t>DeWALT DXV20PTA száraz-nedves porszívó, készülékcsatlakozóval, 20 liter, 15 Kpa, 37,8 l/s, 8 tartozék, 1050 W</t>
        </is>
      </c>
      <c r="C309" s="1" t="n">
        <v>66190.0</v>
      </c>
      <c r="D309" s="7" t="n">
        <f>HYPERLINK("https://www.somogyi.hu/product/dewalt-dxv20pta-szaraz-nedves-porszivo-keszulekcsatlakozoval-20-liter-15-kpa-37-8-l-s-8-tartozek-1050-w-dxv20pta-18256","https://www.somogyi.hu/product/dewalt-dxv20pta-szaraz-nedves-porszivo-keszulekcsatlakozoval-20-liter-15-kpa-37-8-l-s-8-tartozek-1050-w-dxv20pta-18256")</f>
        <v>0.0</v>
      </c>
      <c r="E309" s="7" t="n">
        <f>HYPERLINK("https://www.somogyi.hu/data/img/product_main_images/small/18256.jpg","https://www.somogyi.hu/data/img/product_main_images/small/18256.jpg")</f>
        <v>0.0</v>
      </c>
      <c r="F309" s="2" t="inlineStr">
        <is>
          <t>6921183000059</t>
        </is>
      </c>
      <c r="G309" s="4" t="inlineStr">
        <is>
          <t>Egy megbízható porszívót keres, ami száraz és nedves porszívózás során is egyaránt hatékony? 
A DeWALT DXV20PTA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DXV20PTA száraz-nedves porszívót, és élvezze a hatékony, problémamentes takarítást!</t>
        </is>
      </c>
    </row>
    <row r="310">
      <c r="A310" s="3" t="inlineStr">
        <is>
          <t>DXVA19-1202</t>
        </is>
      </c>
      <c r="B310" s="2" t="inlineStr">
        <is>
          <t>DeWALT DXVA19-1202 porszívó toldócső, 48 mm</t>
        </is>
      </c>
      <c r="C310" s="1" t="n">
        <v>4290.0</v>
      </c>
      <c r="D310" s="7" t="n">
        <f>HYPERLINK("https://www.somogyi.hu/product/dewalt-dxva19-1202-porszivo-toldocso-48-mm-dxva19-1202-18264","https://www.somogyi.hu/product/dewalt-dxva19-1202-porszivo-toldocso-48-mm-dxva19-1202-18264")</f>
        <v>0.0</v>
      </c>
      <c r="E310" s="7" t="n">
        <f>HYPERLINK("https://www.somogyi.hu/data/img/product_main_images/small/18264.jpg","https://www.somogyi.hu/data/img/product_main_images/small/18264.jpg")</f>
        <v>0.0</v>
      </c>
      <c r="F310" s="2" t="inlineStr">
        <is>
          <t>6921183097264</t>
        </is>
      </c>
      <c r="G310" s="4" t="inlineStr">
        <is>
          <t xml:space="preserve"> • tulajdonság: DeWalt porszívó toldócső • 48 mm</t>
        </is>
      </c>
    </row>
    <row r="311">
      <c r="A311" s="3" t="inlineStr">
        <is>
          <t>DXVA19-2400</t>
        </is>
      </c>
      <c r="B311" s="2" t="inlineStr">
        <is>
          <t>DeWALT DXVA19-2400 körkefés porszívófej, 48 mm</t>
        </is>
      </c>
      <c r="C311" s="1" t="n">
        <v>3790.0</v>
      </c>
      <c r="D311" s="7" t="n">
        <f>HYPERLINK("https://www.somogyi.hu/product/dewalt-dxva19-2400-korkefes-porszivofej-48-mm-dxva19-2400-18265","https://www.somogyi.hu/product/dewalt-dxva19-2400-korkefes-porszivofej-48-mm-dxva19-2400-18265")</f>
        <v>0.0</v>
      </c>
      <c r="E311" s="7" t="n">
        <f>HYPERLINK("https://www.somogyi.hu/data/img/product_main_images/small/18265.jpg","https://www.somogyi.hu/data/img/product_main_images/small/18265.jpg")</f>
        <v>0.0</v>
      </c>
      <c r="F311" s="2" t="inlineStr">
        <is>
          <t>2221628700204</t>
        </is>
      </c>
      <c r="G311" s="4" t="inlineStr">
        <is>
          <t xml:space="preserve"> • tulajdonság: DeWalt porszívófej • körkefés • 48 mm</t>
        </is>
      </c>
    </row>
    <row r="312">
      <c r="A312" s="3" t="inlineStr">
        <is>
          <t>DXVA19-1400</t>
        </is>
      </c>
      <c r="B312" s="2" t="inlineStr">
        <is>
          <t>DeWALT DXVA19-1400 résszívófej, 48 mm</t>
        </is>
      </c>
      <c r="C312" s="1" t="n">
        <v>5590.0</v>
      </c>
      <c r="D312" s="7" t="n">
        <f>HYPERLINK("https://www.somogyi.hu/product/dewalt-dxva19-1400-resszivofej-48-mm-dxva19-1400-18266","https://www.somogyi.hu/product/dewalt-dxva19-1400-resszivofej-48-mm-dxva19-1400-18266")</f>
        <v>0.0</v>
      </c>
      <c r="E312" s="7" t="n">
        <f>HYPERLINK("https://www.somogyi.hu/data/img/product_main_images/small/18266.jpg","https://www.somogyi.hu/data/img/product_main_images/small/18266.jpg")</f>
        <v>0.0</v>
      </c>
      <c r="F312" s="2" t="inlineStr">
        <is>
          <t>6921183097332</t>
        </is>
      </c>
      <c r="G312" s="4" t="inlineStr">
        <is>
          <t xml:space="preserve"> • tulajdonság: DeWalt porszívófej • résszívófej • 48 mm</t>
        </is>
      </c>
    </row>
    <row r="313">
      <c r="A313" s="3" t="inlineStr">
        <is>
          <t>DXVA19-5158</t>
        </is>
      </c>
      <c r="B313" s="2" t="inlineStr">
        <is>
          <t>DeWALT DXVA19-5158 hálós tartozéktároló zsák</t>
        </is>
      </c>
      <c r="C313" s="1" t="n">
        <v>2190.0</v>
      </c>
      <c r="D313" s="7" t="n">
        <f>HYPERLINK("https://www.somogyi.hu/product/dewalt-dxva19-5158-halos-tartozektarolo-zsak-dxva19-5158-18268","https://www.somogyi.hu/product/dewalt-dxva19-5158-halos-tartozektarolo-zsak-dxva19-5158-18268")</f>
        <v>0.0</v>
      </c>
      <c r="E313" s="7" t="n">
        <f>HYPERLINK("https://www.somogyi.hu/data/img/product_main_images/small/18268.jpg","https://www.somogyi.hu/data/img/product_main_images/small/18268.jpg")</f>
        <v>0.0</v>
      </c>
      <c r="F313" s="2" t="inlineStr">
        <is>
          <t>6921183097400</t>
        </is>
      </c>
      <c r="G313" s="4" t="inlineStr">
        <is>
          <t xml:space="preserve"> • tulajdonság: DeWalt hálós tartozéktároló zsák</t>
        </is>
      </c>
    </row>
    <row r="314">
      <c r="A314" s="3" t="inlineStr">
        <is>
          <t>MVC72FW</t>
        </is>
      </c>
      <c r="B314" s="2" t="inlineStr">
        <is>
          <t>Gorenje morzsaporszívó</t>
        </is>
      </c>
      <c r="C314" s="1" t="n">
        <v>17390.0</v>
      </c>
      <c r="D314" s="7" t="n">
        <f>HYPERLINK("https://www.somogyi.hu/product/gorenje-morzsaporszivo-mvc72fw-15812","https://www.somogyi.hu/product/gorenje-morzsaporszivo-mvc72fw-15812")</f>
        <v>0.0</v>
      </c>
      <c r="E314" s="7" t="n">
        <f>HYPERLINK("https://www.somogyi.hu/data/img/product_main_images/small/15812.jpg","https://www.somogyi.hu/data/img/product_main_images/small/15812.jpg")</f>
        <v>0.0</v>
      </c>
      <c r="F314" s="2" t="inlineStr">
        <is>
          <t>3838782040542</t>
        </is>
      </c>
      <c r="G314" s="4" t="inlineStr">
        <is>
          <t xml:space="preserve"> • szín: fehér 
 • teljesítmény: 55 W 
 • porzsák kapacitása: portartály: 0,4 liter 
 • tápellátás: LI-ion akkumulátor 7,2 V 
 • méret: 405 x 115 x 120 mm / 0,7 kg 
 • egyéb: nedves/száraz tisztítás • kapcsológomb a készüléken 
 • • szívófejek száma: 2 db • működési idő: 14 perc</t>
        </is>
      </c>
    </row>
    <row r="315">
      <c r="A315" s="3" t="inlineStr">
        <is>
          <t>VCEA01GACWCY</t>
        </is>
      </c>
      <c r="B315" s="2" t="inlineStr">
        <is>
          <t>Gorenje porszívó, ciklonos, porzsák nélküli</t>
        </is>
      </c>
      <c r="C315" s="1" t="n">
        <v>34990.0</v>
      </c>
      <c r="D315" s="7" t="n">
        <f>HYPERLINK("https://www.somogyi.hu/product/gorenje-porszivo-ciklonos-porzsak-nelkuli-vcea01gacwcy-18295","https://www.somogyi.hu/product/gorenje-porszivo-ciklonos-porzsak-nelkuli-vcea01gacwcy-18295")</f>
        <v>0.0</v>
      </c>
      <c r="E315" s="7" t="n">
        <f>HYPERLINK("https://www.somogyi.hu/data/img/product_main_images/small/18295.jpg","https://www.somogyi.hu/data/img/product_main_images/small/18295.jpg")</f>
        <v>0.0</v>
      </c>
      <c r="F315" s="2" t="inlineStr">
        <is>
          <t>3838782071232</t>
        </is>
      </c>
      <c r="G315" s="4" t="inlineStr">
        <is>
          <t xml:space="preserve"> • teljesítmény: 700 W 
 • tartály űrtartalma: 2,2 liter 
 • padlókefe: univerzális kefe + 1 fajta toldalék 
 • kábelfelcsévélés: igen 
 • légszállítás: levegő áramlás (l/s) 22 
 • tápellátás: 230 V~ / 50 Hz 
 • lágy motorindítás: igen 
 • zajszint: 83 dB(A) 
 • méret: 36,6 x 27,1 x 26,6 cm 
 • csatlakozókábel hossza: 5 m 
 • súly: 5,7 kg 
 • jellemzők: Dupla HEPA szűrő • nagy méretű gumikerekek • fém cső 
 • tulajdonság: jelentős hatótávolság (kábel, gégecső, szívófej) 7 m</t>
        </is>
      </c>
    </row>
    <row r="316">
      <c r="A316" s="3" t="inlineStr">
        <is>
          <t>DXVA19-2558</t>
        </is>
      </c>
      <c r="B316" s="2" t="inlineStr">
        <is>
          <t>DeWALT DXVA19-2558 porszívó gégecső, 48 mm x 2,1 m</t>
        </is>
      </c>
      <c r="C316" s="1" t="n">
        <v>12190.0</v>
      </c>
      <c r="D316" s="7" t="n">
        <f>HYPERLINK("https://www.somogyi.hu/product/dewalt-dxva19-2558-porszivo-gegecso-48-mm-x-2-1-m-dxva19-2558-18263","https://www.somogyi.hu/product/dewalt-dxva19-2558-porszivo-gegecso-48-mm-x-2-1-m-dxva19-2558-18263")</f>
        <v>0.0</v>
      </c>
      <c r="E316" s="7" t="n">
        <f>HYPERLINK("https://www.somogyi.hu/data/img/product_main_images/small/18263.jpg","https://www.somogyi.hu/data/img/product_main_images/small/18263.jpg")</f>
        <v>0.0</v>
      </c>
      <c r="F316" s="2" t="inlineStr">
        <is>
          <t>6921183097219</t>
        </is>
      </c>
      <c r="G316" s="4" t="inlineStr">
        <is>
          <t xml:space="preserve"> • tulajdonság: DeWalt porszívó gégecső • 48 mm x 2,1 m</t>
        </is>
      </c>
    </row>
    <row r="317">
      <c r="A317" s="6" t="inlineStr">
        <is>
          <t xml:space="preserve">   Háztartási gép, eszköz / Vasaló</t>
        </is>
      </c>
      <c r="B317" s="6" t="inlineStr">
        <is>
          <t/>
        </is>
      </c>
      <c r="C317" s="6" t="inlineStr">
        <is>
          <t/>
        </is>
      </c>
      <c r="D317" s="6" t="inlineStr">
        <is>
          <t/>
        </is>
      </c>
      <c r="E317" s="6" t="inlineStr">
        <is>
          <t/>
        </is>
      </c>
      <c r="F317" s="6" t="inlineStr">
        <is>
          <t/>
        </is>
      </c>
      <c r="G317" s="6" t="inlineStr">
        <is>
          <t/>
        </is>
      </c>
    </row>
    <row r="318">
      <c r="A318" s="3" t="inlineStr">
        <is>
          <t>HG V 22</t>
        </is>
      </c>
      <c r="B318" s="2" t="inlineStr">
        <is>
          <t>Home HG V 22 kerámia talpas vasaló,  teljesítmény 2200 W, kerámia bevonatú talp, öntisztító funkció, gőzölés és permet funkció</t>
        </is>
      </c>
      <c r="C318" s="1" t="n">
        <v>6590.0</v>
      </c>
      <c r="D318" s="7" t="n">
        <f>HYPERLINK("https://www.somogyi.hu/product/home-hg-v-22-keramia-talpas-vasalo-teljesitmeny-2200-w-keramia-bevonatu-talp-ontisztito-funkcio-gozoles-es-permet-funkcio-hg-v-22-17279","https://www.somogyi.hu/product/home-hg-v-22-keramia-talpas-vasalo-teljesitmeny-2200-w-keramia-bevonatu-talp-ontisztito-funkcio-gozoles-es-permet-funkcio-hg-v-22-17279")</f>
        <v>0.0</v>
      </c>
      <c r="E318" s="7" t="n">
        <f>HYPERLINK("https://www.somogyi.hu/data/img/product_main_images/small/17279.jpg","https://www.somogyi.hu/data/img/product_main_images/small/17279.jpg")</f>
        <v>0.0</v>
      </c>
      <c r="F318" s="2" t="inlineStr">
        <is>
          <t>5999084953010</t>
        </is>
      </c>
      <c r="G318" s="4" t="inlineStr">
        <is>
          <t>A kerámia talpas gőzölős vasaló minőségi nemesacél kerámia felülete garantálja a különféle ruhaanyagok egyenletes és könnyed vasalását, valamint a hosszútávú használatot.
A készülék számos hasznos funkciót tartogat. Ilyen pl. a gőzölés és függőleges gőzlöket, valamint a vízpermet nyújtotta funkció.
A vasaló 160 ml-es víztartállyal rendelkezik. A használat során a fűtést egy jelző fény mutatja.</t>
        </is>
      </c>
    </row>
    <row r="319">
      <c r="A319" s="3" t="inlineStr">
        <is>
          <t>SIH1800TQC</t>
        </is>
      </c>
      <c r="B319" s="2" t="inlineStr">
        <is>
          <t>Gorenje gőzölős vasaló, 1800 W</t>
        </is>
      </c>
      <c r="C319" s="1" t="n">
        <v>10490.0</v>
      </c>
      <c r="D319" s="7" t="n">
        <f>HYPERLINK("https://www.somogyi.hu/product/gorenje-gozolos-vasalo-1800-w-sih1800tqc-18292","https://www.somogyi.hu/product/gorenje-gozolos-vasalo-1800-w-sih1800tqc-18292")</f>
        <v>0.0</v>
      </c>
      <c r="E319" s="7" t="n">
        <f>HYPERLINK("https://www.somogyi.hu/data/img/product_main_images/small/18292.jpg","https://www.somogyi.hu/data/img/product_main_images/small/18292.jpg")</f>
        <v>0.0</v>
      </c>
      <c r="F319" s="2" t="inlineStr">
        <is>
          <t>3838782404757</t>
        </is>
      </c>
      <c r="G319" s="4" t="inlineStr">
        <is>
          <t xml:space="preserve"> • teljesítmény: 1800 W 
 • gőzölős vasaló: igen 
 • talp: UltraSteel talp 
 • víztartály: 0,2 liter 
 • funkciók: öntisztítás funkció 
 • hőfokszabályzó: van 
 • tápellátás: 230 V~ / 50 Hz 
 • színe: türkiz-fehér 
 • jellemzők: gumi fogantyú • csepegésmentes • spray • függőleges vasalás 
 • egyéb: folyamatos gőzkibocsátás 21g/min.• hirtelen gőzlöket 80 g/perc</t>
        </is>
      </c>
    </row>
    <row r="320">
      <c r="A320" s="3" t="inlineStr">
        <is>
          <t>SIH2200BLC</t>
        </is>
      </c>
      <c r="B320" s="2" t="inlineStr">
        <is>
          <t>Gorenje Gőzölős vasaló</t>
        </is>
      </c>
      <c r="C320" s="1" t="n">
        <v>16190.0</v>
      </c>
      <c r="D320" s="7" t="n">
        <f>HYPERLINK("https://www.somogyi.hu/product/gorenje-gozolos-vasalo-sih2200blc-18030","https://www.somogyi.hu/product/gorenje-gozolos-vasalo-sih2200blc-18030")</f>
        <v>0.0</v>
      </c>
      <c r="E320" s="7" t="n">
        <f>HYPERLINK("https://www.somogyi.hu/data/img/product_main_images/small/18030.jpg","https://www.somogyi.hu/data/img/product_main_images/small/18030.jpg")</f>
        <v>0.0</v>
      </c>
      <c r="F320" s="2" t="inlineStr">
        <is>
          <t>3838782404696</t>
        </is>
      </c>
      <c r="G320" s="4" t="inlineStr">
        <is>
          <t xml:space="preserve"> • teljesítmény: 2200 W 
 • száraz vasaló: igen 
 • gőzölős vasaló: igen 
 • talp: kerámia 
 • víztartály: 0,35 liter 
 • funkciók: vízkőmentesítési funkció • függőleges és száraz vasalás • folyamatos gőzkibocsátás 30g/perc • hirtelen gőzlöket 95 g/perc • vízpermet funkció 
 • hőfokszabályzó: analóg hőmérséklet szabályozás 
 • tápellátás: 230 V~ / 50 Hz 
 • egyéb: tömeg: 1,3 kg</t>
        </is>
      </c>
    </row>
    <row r="321">
      <c r="A321" s="6" t="inlineStr">
        <is>
          <t xml:space="preserve">   Háztartási gép, eszköz / Kenyérsütő</t>
        </is>
      </c>
      <c r="B321" s="6" t="inlineStr">
        <is>
          <t/>
        </is>
      </c>
      <c r="C321" s="6" t="inlineStr">
        <is>
          <t/>
        </is>
      </c>
      <c r="D321" s="6" t="inlineStr">
        <is>
          <t/>
        </is>
      </c>
      <c r="E321" s="6" t="inlineStr">
        <is>
          <t/>
        </is>
      </c>
      <c r="F321" s="6" t="inlineStr">
        <is>
          <t/>
        </is>
      </c>
      <c r="G321" s="6" t="inlineStr">
        <is>
          <t/>
        </is>
      </c>
    </row>
    <row r="322">
      <c r="A322" s="3" t="inlineStr">
        <is>
          <t>HG KS 900</t>
        </is>
      </c>
      <c r="B322" s="2" t="inlineStr">
        <is>
          <t>Home HG KS 900 kenyérsütő, 710 W, 15 program, 500 g, 750 g, 900 g kenyérsütés, rozsdamentes felület</t>
        </is>
      </c>
      <c r="C322" s="1" t="n">
        <v>39290.0</v>
      </c>
      <c r="D322" s="7" t="n">
        <f>HYPERLINK("https://www.somogyi.hu/product/home-hg-ks-900-kenyersuto-710-w-15-program-500-g-750-g-900-g-kenyersutes-rozsdamentes-felulet-hg-ks-900-17949","https://www.somogyi.hu/product/home-hg-ks-900-kenyersuto-710-w-15-program-500-g-750-g-900-g-kenyersutes-rozsdamentes-felulet-hg-ks-900-17949")</f>
        <v>0.0</v>
      </c>
      <c r="E322" s="7" t="n">
        <f>HYPERLINK("https://www.somogyi.hu/data/img/product_main_images/small/17949.jpg","https://www.somogyi.hu/data/img/product_main_images/small/17949.jpg")</f>
        <v>0.0</v>
      </c>
      <c r="F322" s="2" t="inlineStr">
        <is>
          <t>5999084959715</t>
        </is>
      </c>
      <c r="G322" s="4" t="inlineStr">
        <is>
          <t>Ha szeretne otthon friss és ízletes kenyeret sütni, akkor kenyérsütőnk 15 programmal az Ön számára ideális választás lehet! A kenyérsütővel egyszerűen elkészíthet különféle kenyereket, akár gluténmentes, vagy teljes kiőrlésű változatban, illetve akár joghurtot is készíthet vele.
A kenyérsütő edénye 900 g kapacitású, így akár nagyobb családoknak is elegendő mennyiségű kenyeret készíthet egyszerre. Emellett a kenyérméretválasztási lehetőségnek köszönhetően a kívánt méretű kenyeret is elkészítheti könnyedén, legyen az 500 g, 750 g vagy 900 g.
A kenyérsütő 710 W teljesítménnyel rendelkezik, így gyorsan és hatékonyan süt. Ha pedig mégsem sikerül azonnal elfogyasztani a frissen sült kenyeret, akkor sem kell aggódnia, hiszen a 60 perces melegen tartó funkcióval a kenyeret melegen és frissen tarthatja. A kenyérsütő memóriája lehetővé teszi, hogy 15 perces áramszünet esetén is folytathassa a sütést ott, ahol abbahagyta. Emellett az időzítővel beállíthatja, hogy mikor kezdje el a sütést, így mindig friss és meleg kenyeret fogyaszthat.
A kenyérsütő ujjlenyomatmentes rozsdamentes felülettel rendelkezik, így mindig tiszta és esztétikus marad.
A tartozék mérőpohár és mérőkanál segítségével pontosan mérheti a hozzávalókat. Válassza kenyérsütőnket, és élvezze az otthoni, friss és finom kenyér ízét!</t>
        </is>
      </c>
    </row>
    <row r="323">
      <c r="A323" s="3" t="inlineStr">
        <is>
          <t>BM910WII</t>
        </is>
      </c>
      <c r="B323" s="2" t="inlineStr">
        <is>
          <t>Gorenje kenyérsütő</t>
        </is>
      </c>
      <c r="C323" s="1" t="n">
        <v>31990.0</v>
      </c>
      <c r="D323" s="7" t="n">
        <f>HYPERLINK("https://www.somogyi.hu/product/gorenje-kenyersuto-bm910wii-16738","https://www.somogyi.hu/product/gorenje-kenyersuto-bm910wii-16738")</f>
        <v>0.0</v>
      </c>
      <c r="E323" s="7" t="n">
        <f>HYPERLINK("https://www.somogyi.hu/data/img/product_main_images/small/16738.jpg","https://www.somogyi.hu/data/img/product_main_images/small/16738.jpg")</f>
        <v>0.0</v>
      </c>
      <c r="F323" s="2" t="inlineStr">
        <is>
          <t>3838782069758</t>
        </is>
      </c>
      <c r="G323" s="4" t="inlineStr">
        <is>
          <t xml:space="preserve"> • teljesítmény: 550 W 
 • kenyér mérete: 750 - 900 g 
 • időzítés: max. 13 órás késleltetett indítás 
 • funkciók: melegen tartó funkció • 3 pirítási szint 
 • programok: 15 program - pl. lekvár- és joghurtkészítés, gluténmentes program 
 • egyéb: LCD kijelző, kék háttérrel • automatikus kikapcsolás 
 • tartozékok: mérőkehely, mérőkanál 
 • méret: 21,8 x 29,7 x 29,2 cm / súly: 3,5 kg</t>
        </is>
      </c>
    </row>
    <row r="324">
      <c r="A324" s="6" t="inlineStr">
        <is>
          <t xml:space="preserve">   Háztartási gép, eszköz / Szeletelőgép</t>
        </is>
      </c>
      <c r="B324" s="6" t="inlineStr">
        <is>
          <t/>
        </is>
      </c>
      <c r="C324" s="6" t="inlineStr">
        <is>
          <t/>
        </is>
      </c>
      <c r="D324" s="6" t="inlineStr">
        <is>
          <t/>
        </is>
      </c>
      <c r="E324" s="6" t="inlineStr">
        <is>
          <t/>
        </is>
      </c>
      <c r="F324" s="6" t="inlineStr">
        <is>
          <t/>
        </is>
      </c>
      <c r="G324" s="6" t="inlineStr">
        <is>
          <t/>
        </is>
      </c>
    </row>
    <row r="325">
      <c r="A325" s="3" t="inlineStr">
        <is>
          <t>HG SZE 01</t>
        </is>
      </c>
      <c r="B325" s="2" t="inlineStr">
        <is>
          <t>Home HG SZE 01 szeletelőgép, teljesítmény 150 W, szeletelési vastagság 0-1,5 cm, rozsdamentes forgókés ∅17 cm, összecsukható</t>
        </is>
      </c>
      <c r="C325" s="1" t="n">
        <v>16490.0</v>
      </c>
      <c r="D325" s="7" t="n">
        <f>HYPERLINK("https://www.somogyi.hu/product/home-hg-sze-01-szeletelogep-teljesitmeny-150-w-szeletelesi-vastagsag-0-1-5-cm-rozsdamentes-forgokes-17-cm-osszecsukhato-hg-sze-01-17062","https://www.somogyi.hu/product/home-hg-sze-01-szeletelogep-teljesitmeny-150-w-szeletelesi-vastagsag-0-1-5-cm-rozsdamentes-forgokes-17-cm-osszecsukhato-hg-sze-01-17062")</f>
        <v>0.0</v>
      </c>
      <c r="E325" s="7" t="n">
        <f>HYPERLINK("https://www.somogyi.hu/data/img/product_main_images/small/17062.jpg","https://www.somogyi.hu/data/img/product_main_images/small/17062.jpg")</f>
        <v>0.0</v>
      </c>
      <c r="F325" s="2" t="inlineStr">
        <is>
          <t>5999084950941</t>
        </is>
      </c>
      <c r="G325" s="4" t="inlineStr">
        <is>
          <t>A HG SZE 01 szeletelő gép hasznos konyhai eszköz a háztartásban. A készülék rozsdamentes forgókése 170 mm átmérőjű. A szeletelési vastagság fokozatmentesen állítható 0-15 mm-ig. A használó biztonságát szolgálja a csúszásmentes talpak, kéz- és ujj védők és a biztonsági kapcsoló. Teljesítménye 150 W. A szeletelő gép összecsukható, így kis helyen is elfér. A csatlakozókábel hossza 85 cm.</t>
        </is>
      </c>
    </row>
    <row r="326">
      <c r="A326" s="3" t="inlineStr">
        <is>
          <t>R506E</t>
        </is>
      </c>
      <c r="B326" s="2" t="inlineStr">
        <is>
          <t>Gorenje szeletelőgép</t>
        </is>
      </c>
      <c r="C326" s="1" t="n">
        <v>32990.0</v>
      </c>
      <c r="D326" s="7" t="n">
        <f>HYPERLINK("https://www.somogyi.hu/product/gorenje-szeletelogep-r506e-15208","https://www.somogyi.hu/product/gorenje-szeletelogep-r506e-15208")</f>
        <v>0.0</v>
      </c>
      <c r="E326" s="7" t="n">
        <f>HYPERLINK("https://www.somogyi.hu/data/img/product_main_images/small/15208.jpg","https://www.somogyi.hu/data/img/product_main_images/small/15208.jpg")</f>
        <v>0.0</v>
      </c>
      <c r="F326" s="2" t="inlineStr">
        <is>
          <t>3838942786853</t>
        </is>
      </c>
      <c r="G326" s="4" t="inlineStr">
        <is>
          <t xml:space="preserve"> • teljesítmény: 150 W 
 • penge: Ø 19 cm 
 • szeletvastagság: 15 mm-ig 
 • anyaga: rozsdamentes acél 
 • zajszint: 82 dB 
 • méret: 38,2 x 27,2 x 26,2 cm 
 • tömeg: 5,2 kg</t>
        </is>
      </c>
    </row>
    <row r="327">
      <c r="A327" s="6" t="inlineStr">
        <is>
          <t xml:space="preserve">   Háztartási gép, eszköz / Befőző automata</t>
        </is>
      </c>
      <c r="B327" s="6" t="inlineStr">
        <is>
          <t/>
        </is>
      </c>
      <c r="C327" s="6" t="inlineStr">
        <is>
          <t/>
        </is>
      </c>
      <c r="D327" s="6" t="inlineStr">
        <is>
          <t/>
        </is>
      </c>
      <c r="E327" s="6" t="inlineStr">
        <is>
          <t/>
        </is>
      </c>
      <c r="F327" s="6" t="inlineStr">
        <is>
          <t/>
        </is>
      </c>
      <c r="G327" s="6" t="inlineStr">
        <is>
          <t/>
        </is>
      </c>
    </row>
    <row r="328">
      <c r="A328" s="3" t="inlineStr">
        <is>
          <t>HG BA 27</t>
        </is>
      </c>
      <c r="B328" s="2" t="inlineStr">
        <is>
          <t>Home HG BA 27 befőző automata, teljesítmény 1800 W, 27 literes tartály, sterilizálás funkció, fehér-fekete</t>
        </is>
      </c>
      <c r="C328" s="1" t="n">
        <v>47390.0</v>
      </c>
      <c r="D328" s="7" t="n">
        <f>HYPERLINK("https://www.somogyi.hu/product/home-hg-ba-27-befozo-automata-teljesitmeny-1800-w-27-literes-tartaly-sterilizalas-funkcio-feher-fekete-hg-ba-27-16492","https://www.somogyi.hu/product/home-hg-ba-27-befozo-automata-teljesitmeny-1800-w-27-literes-tartaly-sterilizalas-funkcio-feher-fekete-hg-ba-27-16492")</f>
        <v>0.0</v>
      </c>
      <c r="E328" s="7" t="n">
        <f>HYPERLINK("https://www.somogyi.hu/data/img/product_main_images/small/16492.jpg","https://www.somogyi.hu/data/img/product_main_images/small/16492.jpg")</f>
        <v>0.0</v>
      </c>
      <c r="F328" s="2" t="inlineStr">
        <is>
          <t>5999084945244</t>
        </is>
      </c>
      <c r="G328" s="4" t="inlineStr">
        <is>
          <t>Szeretne egy sokoldalú konyhai eszközt, amely nem csak befőttek készítéséhez, hanem különféle italok melegen tartására is ideális? Fedezze fel a Home HG BA 27 befőző automatát!
Ezzel a 1800 W teljesítményű eszközzel nem csak a befőttkészítés lesz egyszerűbb, hanem sokféle ital elkészítése is. A 27 literes zománcozott fém tartályában egyszerre akár 14 db 1 literes befőttes üveget sterilizálhat, garantálva a tartós és higiénikus tárolást. Ugyanebben a tartályban akár 27 liter folyadékot – legyen az tea vagy forralt bor – melegíthet, felforralhat és melegen is tarthat. A cseppmentes leeresztő csapnak köszönhetően egyszerű és tiszta az adagolás. A mechanikus termosztáttal pontosan szabályozhatja a hőmérsékletet, míg a kikapcsolható termosztáthangjelzés és az időzíthető kikapcsolás (max. 120 perc) további kényelmi funkciókat biztosítanak. A hőszigetelt fogantyúknak köszönhetően biztonságosan kezelheti a készüléket, míg a műanyag üvegtartó ráccsal a befőttesüvegek stabil helyzetben maradnak. Ráadásul a készülék alján található vezetéktárolóval egyszerűen tárolhatja, így helyet takarít meg a konyhában.
Bővítse konyhai eszközei palettáját a Home HG BA 27 befőző automatával, és tapasztalja meg a sokoldalúság és az egyszerű használat örömét minden nap!</t>
        </is>
      </c>
    </row>
    <row r="329">
      <c r="A329" s="6" t="inlineStr">
        <is>
          <t xml:space="preserve">   Háztartási gép, eszköz / Elektromos kukta, forrólevegős sütő</t>
        </is>
      </c>
      <c r="B329" s="6" t="inlineStr">
        <is>
          <t/>
        </is>
      </c>
      <c r="C329" s="6" t="inlineStr">
        <is>
          <t/>
        </is>
      </c>
      <c r="D329" s="6" t="inlineStr">
        <is>
          <t/>
        </is>
      </c>
      <c r="E329" s="6" t="inlineStr">
        <is>
          <t/>
        </is>
      </c>
      <c r="F329" s="6" t="inlineStr">
        <is>
          <t/>
        </is>
      </c>
      <c r="G329" s="6" t="inlineStr">
        <is>
          <t/>
        </is>
      </c>
    </row>
    <row r="330">
      <c r="A330" s="3" t="inlineStr">
        <is>
          <t>HG AF 24</t>
        </is>
      </c>
      <c r="B330" s="2" t="inlineStr">
        <is>
          <t>Home HG AF 24 air fryer, forrólevegős fritőz, 2 X 3,8 literes, 6-féle üzemmód, 2460 W, MEAL funkció, DUAL funkció, fekete</t>
        </is>
      </c>
      <c r="C330" s="1" t="n">
        <v>53290.0</v>
      </c>
      <c r="D330" s="7" t="n">
        <f>HYPERLINK("https://www.somogyi.hu/product/home-hg-af-24-air-fryer-forrolevegos-fritoz-2-x-3-8-literes-6-fele-uzemmod-2460-w-meal-funkcio-dual-funkcio-fekete-hg-af-24-18053","https://www.somogyi.hu/product/home-hg-af-24-air-fryer-forrolevegos-fritoz-2-x-3-8-literes-6-fele-uzemmod-2460-w-meal-funkcio-dual-funkcio-fekete-hg-af-24-18053")</f>
        <v>0.0</v>
      </c>
      <c r="E330" s="7" t="n">
        <f>HYPERLINK("https://www.somogyi.hu/data/img/product_main_images/small/18053.jpg","https://www.somogyi.hu/data/img/product_main_images/small/18053.jpg")</f>
        <v>0.0</v>
      </c>
      <c r="F330" s="2" t="inlineStr">
        <is>
          <t>5999084960759</t>
        </is>
      </c>
      <c r="G330" s="4" t="inlineStr">
        <is>
          <t>Ha hatékonyan, gyorsan és kényelmesen szeretne ínycsiklandó ételeket készíteni, akkor a HG AF24 duplakosaras forrólevegős sütő az ideális választás Ön számára!
A sütő két 3,8 literes kosarával lehetővé teszi, hogy egyszerre két különböző étel is elkészüljön. A 2460W teljesítmény pedig gyors és hatékony sütést biztosít. A digitális vezérlésnek köszönhetően hat különböző üzemmód közül választhat: forrólevegős sütés, pirítás, sütés, aszalás, kiolvasztás, újramelegítés.
A MEAL funkció lehetővé teszi két különböző étel egyszerre történő elkészítését a két kosárban. A DUAL funkció segítségével pedig ugyanolyan étel nagyobb mennyiségben is készíthető. 
A két kosár egymástól függetlenül is használható. Működés közben állítható a hőfok és a hátralévő idő is, így biztos lehet abban, hogy az ételek pontosan úgy készülnek, ahogy Ön szeretné. A sütő mérete 39x31x35 cm, így nem foglal nagy helyet a konyhában.
Válassza a duplakosaras forrólevegős sütőt, ha hatékony és kényelmes konyhai segítségre van szüksége!</t>
        </is>
      </c>
    </row>
    <row r="331">
      <c r="A331" s="3" t="inlineStr">
        <is>
          <t>MF-TN35D</t>
        </is>
      </c>
      <c r="B331" s="2" t="inlineStr">
        <is>
          <t>Midea MF-TN35D air fryer, forrólevegős fritőz, 3,5 literes sütőkosár, állítható hőmérséklet 200 °C-ig, 1500 W, fekete</t>
        </is>
      </c>
      <c r="C331" s="1" t="n">
        <v>31090.0</v>
      </c>
      <c r="D331" s="7" t="n">
        <f>HYPERLINK("https://www.somogyi.hu/product/midea-mf-tn35d-air-fryer-forrolevegos-fritoz-3-5-literes-sutokosar-allithato-homerseklet-200-c-ig-1500-w-fekete-mf-tn35d-17985","https://www.somogyi.hu/product/midea-mf-tn35d-air-fryer-forrolevegos-fritoz-3-5-literes-sutokosar-allithato-homerseklet-200-c-ig-1500-w-fekete-mf-tn35d-17985")</f>
        <v>0.0</v>
      </c>
      <c r="E331" s="7" t="n">
        <f>HYPERLINK("https://www.somogyi.hu/data/img/product_main_images/small/17985.jpg","https://www.somogyi.hu/data/img/product_main_images/small/17985.jpg")</f>
        <v>0.0</v>
      </c>
      <c r="F331" s="2" t="inlineStr">
        <is>
          <t>6939962794709</t>
        </is>
      </c>
      <c r="G331" s="4" t="inlineStr">
        <is>
          <t>A DualCyclone Rapid Air technológiával felszerelt elegáns MIDEA air fryer készülékünk az optimális levegő keringésnek köszönhetően pillanatok alatt egyenletes forró levegőt, hőeloszlást generál, így az étel gyorsan és tökéletesen sül meg. 
Az 1500 W teljesítményű termék a kivételes Guilt Free Delicious élmény segítségével puha, belül szaftos, kívül ropogós ételeket készít, csökkentett mennyiségű hozzáadott zsiradékkal. A precíziós időzítő és hőmérséklet-szabályozás lehetővé teszi, hogy akár 200°C-ig állítsa be a hőmérsékletet és időzítsen 60 percet, így minden ínyenc finomságot könnyedén elkészíthet konyhájában. 
Válassza a 3,5 L-es air fryer készülékünket, és élvezze a finom és egészséges ételeket otthona kényelmében!</t>
        </is>
      </c>
    </row>
    <row r="332">
      <c r="A332" s="3" t="inlineStr">
        <is>
          <t>HG EK 1000/SZ</t>
        </is>
      </c>
      <c r="B332" s="2" t="inlineStr">
        <is>
          <t>Szigetelő gyűrű</t>
        </is>
      </c>
      <c r="C332" s="1" t="n">
        <v>1450.0</v>
      </c>
      <c r="D332" s="7" t="n">
        <f>HYPERLINK("https://www.somogyi.hu/product/szigetelo-gyuru-hg-ek-1000-sz-17083","https://www.somogyi.hu/product/szigetelo-gyuru-hg-ek-1000-sz-17083")</f>
        <v>0.0</v>
      </c>
      <c r="E332" s="7" t="n">
        <f>HYPERLINK("https://www.somogyi.hu/data/img/product_main_images/small/17083.jpg","https://www.somogyi.hu/data/img/product_main_images/small/17083.jpg")</f>
        <v>0.0</v>
      </c>
      <c r="F332" s="2" t="inlineStr">
        <is>
          <t>5999084951153</t>
        </is>
      </c>
      <c r="G332" s="4" t="inlineStr">
        <is>
          <t>A szigetelő gyűrű a HG EK 1000 multifunkciós elektromos kukta pótalkatrésze. A készülék fedélének lezárásánál biztosítja nyomás megtartását, így a biztosságos működtetés érdekében az esetleges elhasználódás esetén feltétlen cserélni kell!</t>
        </is>
      </c>
    </row>
    <row r="333">
      <c r="A333" s="3" t="inlineStr">
        <is>
          <t>HG LS 1000</t>
        </is>
      </c>
      <c r="B333" s="2" t="inlineStr">
        <is>
          <t>Home HG LS 1000 forró levegős sütőfedél, teljesítmény 1000 W, 45 °C – 220 °C-ig állítható hőmérséklet, max. ∅24 cm edényméret</t>
        </is>
      </c>
      <c r="C333" s="1" t="n">
        <v>15190.0</v>
      </c>
      <c r="D333" s="7" t="n">
        <f>HYPERLINK("https://www.somogyi.hu/product/home-hg-ls-1000-forro-levegos-sutofedel-teljesitmeny-1000-w-45-c-220-c-ig-allithato-homerseklet-max-24-cm-edenymeret-hg-ls-1000-17065","https://www.somogyi.hu/product/home-hg-ls-1000-forro-levegos-sutofedel-teljesitmeny-1000-w-45-c-220-c-ig-allithato-homerseklet-max-24-cm-edenymeret-hg-ls-1000-17065")</f>
        <v>0.0</v>
      </c>
      <c r="E333" s="7" t="n">
        <f>HYPERLINK("https://www.somogyi.hu/data/img/product_main_images/small/17065.jpg","https://www.somogyi.hu/data/img/product_main_images/small/17065.jpg")</f>
        <v>0.0</v>
      </c>
      <c r="F333" s="2" t="inlineStr">
        <is>
          <t>5999084950972</t>
        </is>
      </c>
      <c r="G333" s="4" t="inlineStr">
        <is>
          <t>A forrólevegős sütőfedél egy remek kiegészítő a Home elektromos kuktánkhoz, praktikus komplex konyhai eszköz, amely kielégíti minden sütéssel, pirítással kapcsolatos igényünket.
A sütőfedél az üveg fedőre helyezett készülékházból, a fűtőegységből, és a vezérlőpanelből áll. Kizárólag az elektromos kukta HG EK 1000 rozsdamentes acél belső edényén használható.
A sütő légkeveréses és halogén beépített fűtéssel rendelkezik, amely biztosítja a benne készült ételek, sültek zamatos, egyenletes átsütését.
Közkedvelt választás a fritőz funkciója, amellyel olaj nélkül a tudatos táplálkozás jegyben készíthet el kedvenc ételeit.
A kezelése egyszerű és biztonságos, könnyen tisztítható és az üvegfedélen át megfelelően ellenőrizhető az átsütés mértéke.</t>
        </is>
      </c>
    </row>
    <row r="334">
      <c r="A334" s="3" t="inlineStr">
        <is>
          <t>MAD55005APKH</t>
        </is>
      </c>
      <c r="B334" s="2" t="inlineStr">
        <is>
          <t>MIDEA MAD55005APKH Air Fryer, forrólevegős fritőz, 4.6 l kosár, 5.7 l üst, 1500 W, 60 p időzítő, 200 °C hőmérséklet, lecsatolható sütőkosár</t>
        </is>
      </c>
      <c r="C334" s="1" t="n">
        <v>45290.0</v>
      </c>
      <c r="D334" s="7" t="n">
        <f>HYPERLINK("https://www.somogyi.hu/product/midea-mad55005apkh-air-fryer-forrolevegos-fritoz-4-6-l-kosar-5-7-l-ust-1500-w-60-p-idozito-200-c-homerseklet-lecsatolhato-sutokosar-mad55005apkh-18320","https://www.somogyi.hu/product/midea-mad55005apkh-air-fryer-forrolevegos-fritoz-4-6-l-kosar-5-7-l-ust-1500-w-60-p-idozito-200-c-homerseklet-lecsatolhato-sutokosar-mad55005apkh-18320")</f>
        <v>0.0</v>
      </c>
      <c r="E334" s="7" t="n">
        <f>HYPERLINK("https://www.somogyi.hu/data/img/product_main_images/small/18320.jpg","https://www.somogyi.hu/data/img/product_main_images/small/18320.jpg")</f>
        <v>0.0</v>
      </c>
      <c r="F334" s="2" t="inlineStr">
        <is>
          <t>6936718304120</t>
        </is>
      </c>
      <c r="G334" s="4" t="inlineStr">
        <is>
          <t>Egy egyszerű módot keres az egészségesebb étkezésre? A MIDEA MAD55005APKH Air Fryer a tökéletes választás azok számára, akik szeretnének kevesebb olajjal sütni, miközben megőrzik az ételek roppanós textúráját és gazdag ízét.
Ez a készülék egy 4,6 literes kosárral és egy 5,7 literes üsttel rendelkezik, így egyszerre nagyobb adagok elkészítésére is alkalmas. A 1500 wattos teljesítmény biztosítja a gyors és hatékony felmelegedést, míg a 60 perces időzítő és a 200 °C-ig állítható hőmérséklettel minden típusú ételt tökéletesre süt. A lecsatolható sütőkosárnak köszönhetően a tisztítás gyerekjáték.
Válassza a MIDEA MAD55005APKH Air Fryert, hogy egészségesebben élvezhesse kedvenc sült ételeit, mindezt fekete, elegáns kivitelben. Fedezze fel az egészséges sütés új dimenzióit!</t>
        </is>
      </c>
    </row>
    <row r="335">
      <c r="A335" s="6" t="inlineStr">
        <is>
          <t xml:space="preserve">   Háztartási gép, eszköz / Tejhabosító</t>
        </is>
      </c>
      <c r="B335" s="6" t="inlineStr">
        <is>
          <t/>
        </is>
      </c>
      <c r="C335" s="6" t="inlineStr">
        <is>
          <t/>
        </is>
      </c>
      <c r="D335" s="6" t="inlineStr">
        <is>
          <t/>
        </is>
      </c>
      <c r="E335" s="6" t="inlineStr">
        <is>
          <t/>
        </is>
      </c>
      <c r="F335" s="6" t="inlineStr">
        <is>
          <t/>
        </is>
      </c>
      <c r="G335" s="6" t="inlineStr">
        <is>
          <t/>
        </is>
      </c>
    </row>
    <row r="336">
      <c r="A336" s="3" t="inlineStr">
        <is>
          <t>HG TH 150</t>
        </is>
      </c>
      <c r="B336" s="2" t="inlineStr">
        <is>
          <t>Home HG TH 150 tejhabosító, teljesítmény 550 W, tejmelegítés 300 ml és tejhabkészítés 150 ml tejből, melegítés 65°C-ra</t>
        </is>
      </c>
      <c r="C336" s="1" t="n">
        <v>14590.0</v>
      </c>
      <c r="D336" s="7" t="n">
        <f>HYPERLINK("https://www.somogyi.hu/product/home-hg-th-150-tejhabosito-teljesitmeny-550-w-tejmelegites-300-ml-es-tejhabkeszites-150-ml-tejbol-melegites-65-c-ra-hg-th-150-17560","https://www.somogyi.hu/product/home-hg-th-150-tejhabosito-teljesitmeny-550-w-tejmelegites-300-ml-es-tejhabkeszites-150-ml-tejbol-melegites-65-c-ra-hg-th-150-17560")</f>
        <v>0.0</v>
      </c>
      <c r="E336" s="7" t="n">
        <f>HYPERLINK("https://www.somogyi.hu/data/img/product_main_images/small/17560.jpg","https://www.somogyi.hu/data/img/product_main_images/small/17560.jpg")</f>
        <v>0.0</v>
      </c>
      <c r="F336" s="2" t="inlineStr">
        <is>
          <t>5999084955823</t>
        </is>
      </c>
      <c r="G336" s="4" t="inlineStr">
        <is>
          <t>A HG TH 150 Tejhabosító a kávé szerelmeseinek elengedhetetlen eszköze lesz. Készítsen otthonában kávéházi minőségű tejhabot, így számos kávékülönlegességet alkothat. 
Tejhab készítése esetén 150 ml, tejmelegítés esetén 300 ml tejet használjon.
A tejhabosítóval 65°C-ra melegíthető fel a tej.
A tapadásmentes belső felületnek köszönhetően nem ég le a tej, így könnyen tisztítható.</t>
        </is>
      </c>
    </row>
    <row r="337">
      <c r="A337" s="3" t="inlineStr">
        <is>
          <t>GD 160</t>
        </is>
      </c>
      <c r="B337" s="2" t="inlineStr">
        <is>
          <t>Pedrini GD 160 elemes tejhabosító, keverő, fém kivitel</t>
        </is>
      </c>
      <c r="C337" s="1" t="n">
        <v>5490.0</v>
      </c>
      <c r="D337" s="7" t="n">
        <f>HYPERLINK("https://www.somogyi.hu/product/pedrini-gd-160-elemes-tejhabosito-kevero-fem-kivitel-gd-160-18020","https://www.somogyi.hu/product/pedrini-gd-160-elemes-tejhabosito-kevero-fem-kivitel-gd-160-18020")</f>
        <v>0.0</v>
      </c>
      <c r="E337" s="7" t="n">
        <f>HYPERLINK("https://www.somogyi.hu/data/img/product_main_images/small/18020.jpg","https://www.somogyi.hu/data/img/product_main_images/small/18020.jpg")</f>
        <v>0.0</v>
      </c>
      <c r="F337" s="2" t="inlineStr">
        <is>
          <t>883336416819</t>
        </is>
      </c>
      <c r="G337" s="4" t="inlineStr">
        <is>
          <t>A Pedrini elemes tejhabosító és keverő készülék segítségével pillanatok alatt készíthető krémes tejhab, mely különlegessé varázsolja az otthoni kávézás élményét. A készülék markolata kényelmesen illeszkedik a kézbe, így az egyszerű és könnyed használat élményét nyújtja. A tejhabosító 2 x 1,5 V (AA) elemmel működik, mely nem tartozék. Válassza a Pedrini tejhabosítót, hogy az otthoni kávézás még ízletesebb legyen!</t>
        </is>
      </c>
    </row>
    <row r="338">
      <c r="A338" s="6" t="inlineStr">
        <is>
          <t xml:space="preserve">   Háztartási gép, eszköz / Ruhagőzölő</t>
        </is>
      </c>
      <c r="B338" s="6" t="inlineStr">
        <is>
          <t/>
        </is>
      </c>
      <c r="C338" s="6" t="inlineStr">
        <is>
          <t/>
        </is>
      </c>
      <c r="D338" s="6" t="inlineStr">
        <is>
          <t/>
        </is>
      </c>
      <c r="E338" s="6" t="inlineStr">
        <is>
          <t/>
        </is>
      </c>
      <c r="F338" s="6" t="inlineStr">
        <is>
          <t/>
        </is>
      </c>
      <c r="G338" s="6" t="inlineStr">
        <is>
          <t/>
        </is>
      </c>
    </row>
    <row r="339">
      <c r="A339" s="3" t="inlineStr">
        <is>
          <t>HG RG 1000</t>
        </is>
      </c>
      <c r="B339" s="2" t="inlineStr">
        <is>
          <t>Home HG RG 1000 hordozható kézi ruhagőzölő, teljesítmény 1000 W, 100 ml víztartály, rozsdamentes gőzölő felület, ~15 g/perc gőzkapacitás</t>
        </is>
      </c>
      <c r="C339" s="1" t="n">
        <v>10090.0</v>
      </c>
      <c r="D339" s="7" t="n">
        <f>HYPERLINK("https://www.somogyi.hu/product/home-hg-rg-1000-hordozhato-kezi-ruhagozolo-teljesitmeny-1000-w-100-ml-viztartaly-rozsdamentes-gozolo-felulet-15-g-perc-gozkapacitas-hg-rg-1000-17561","https://www.somogyi.hu/product/home-hg-rg-1000-hordozhato-kezi-ruhagozolo-teljesitmeny-1000-w-100-ml-viztartaly-rozsdamentes-gozolo-felulet-15-g-perc-gozkapacitas-hg-rg-1000-17561")</f>
        <v>0.0</v>
      </c>
      <c r="E339" s="7" t="n">
        <f>HYPERLINK("https://www.somogyi.hu/data/img/product_main_images/small/17561.jpg","https://www.somogyi.hu/data/img/product_main_images/small/17561.jpg")</f>
        <v>0.0</v>
      </c>
      <c r="F339" s="2" t="inlineStr">
        <is>
          <t>5999084955830</t>
        </is>
      </c>
      <c r="G339" s="4" t="inlineStr">
        <is>
          <t>A HG RG 1000 Hordozható kézi ruhagőzölő a legpraktikusabb megoldás utazások alkalmával. Egyszerűen kigőzölhetőek a gyűrődések és még vasalódeszka sem szükséges hozzá. Utazások során a ruhák összegyűrődése elengedhetetlen, de a bőröndben nagy helyet foglaló vasalót sem szeretné magával vinni. Ezekre az esetekre a legmegfelelőbb egy összecsukható kézi ruhagőzölő. Nem csak utazásokhoz használható, de a nehezen vasalható felületeket, mint például függönyt és egyéb lakás textíliákat is pillanatok alatt simává varázsol. Vízszintesen és függőlegesen is egyaránt gőzölhet vele. A levehető víztartály 100 ml űrtartalmú. Gőzkapacitása ~15 g/perc. 
Tartozékként szállítjuk a víz adagolópoharat és a textil tároló zsákot.</t>
        </is>
      </c>
    </row>
    <row r="340">
      <c r="A340" s="6" t="inlineStr">
        <is>
          <t xml:space="preserve">   Háztartási gép, eszköz / Serpenyő, wok</t>
        </is>
      </c>
      <c r="B340" s="6" t="inlineStr">
        <is>
          <t/>
        </is>
      </c>
      <c r="C340" s="6" t="inlineStr">
        <is>
          <t/>
        </is>
      </c>
      <c r="D340" s="6" t="inlineStr">
        <is>
          <t/>
        </is>
      </c>
      <c r="E340" s="6" t="inlineStr">
        <is>
          <t/>
        </is>
      </c>
      <c r="F340" s="6" t="inlineStr">
        <is>
          <t/>
        </is>
      </c>
      <c r="G340" s="6" t="inlineStr">
        <is>
          <t/>
        </is>
      </c>
    </row>
    <row r="341">
      <c r="A341" s="3" t="inlineStr">
        <is>
          <t>10-144-101</t>
        </is>
      </c>
      <c r="B341" s="2" t="inlineStr">
        <is>
          <t>Nava 10-144-101 Nature tapadásmentes serpenyő, kőbevonattal, 24 cm átmérő</t>
        </is>
      </c>
      <c r="C341" s="1" t="n">
        <v>6490.0</v>
      </c>
      <c r="D341" s="7" t="n">
        <f>HYPERLINK("https://www.somogyi.hu/product/nava-10-144-101-nature-tapadasmentes-serpenyo-kobevonattal-24-cm-atmero-10-144-101-18615","https://www.somogyi.hu/product/nava-10-144-101-nature-tapadasmentes-serpenyo-kobevonattal-24-cm-atmero-10-144-101-18615")</f>
        <v>0.0</v>
      </c>
      <c r="E341" s="7" t="n">
        <f>HYPERLINK("https://www.somogyi.hu/data/img/product_main_images/small/18615.jpg","https://www.somogyi.hu/data/img/product_main_images/small/18615.jpg")</f>
        <v>0.0</v>
      </c>
      <c r="F341" s="2" t="inlineStr">
        <is>
          <t>5205746087871</t>
        </is>
      </c>
      <c r="G341" s="4" t="inlineStr">
        <is>
          <t>Egy serpenyőt keres, amelyikkel egészségesen és hatékonyan készítheti el kedvenc ételeit? Fedezze fel a 24cm átmérőjű Nava 10-144-101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16,50cm.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42">
      <c r="A342" s="3" t="inlineStr">
        <is>
          <t>10-302-005</t>
        </is>
      </c>
      <c r="B342" s="2" t="inlineStr">
        <is>
          <t>NAVA 10-302-005 Imperial tapadásmentes alumínium serpenyő, kőbevonattal, 28cm átmérő</t>
        </is>
      </c>
      <c r="C342" s="1" t="n">
        <v>14590.0</v>
      </c>
      <c r="D342" s="7" t="n">
        <f>HYPERLINK("https://www.somogyi.hu/product/nava-10-302-005-imperial-tapadasmentes-aluminium-serpenyo-kobevonattal-28cm-atmero-10-302-005-18355","https://www.somogyi.hu/product/nava-10-302-005-imperial-tapadasmentes-aluminium-serpenyo-kobevonattal-28cm-atmero-10-302-005-18355")</f>
        <v>0.0</v>
      </c>
      <c r="E342" s="7" t="n">
        <f>HYPERLINK("https://www.somogyi.hu/data/img/product_main_images/small/18355.jpg","https://www.somogyi.hu/data/img/product_main_images/small/18355.jpg")</f>
        <v>0.0</v>
      </c>
      <c r="F342" s="2" t="inlineStr">
        <is>
          <t>5205746179316</t>
        </is>
      </c>
      <c r="G342" s="4" t="inlineStr">
        <is>
          <t>Egy olyan serpenyőt keres, amely minden típusú tűzhelyen megállja a helyét és még az ételek letapadásával is megbirkózik? A NAVA 10-302-005 Imperial alumínium serpenyő a tökéletes választás.
Ezt a serpenyőt úgy tervezték, hogy megfeleljen a modern konyhák minden igényének: használható gáz-, elektromos-, kerámia-, halogén-, és indukciós tűzhelyeken egyaránt. A 28 cm átmérőjű, 2,9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1,1 kg, így kezelése egyszerű és kényelmes, magassága pedig 6 cm, ami ideális mélységet biztosít a sütéshez és pároláshoz is. 
Válassza a NAVA 10-302-005 Imperial alumínium serpenyőt a hosszú távú kényelem és megbízhatóság érdekében!</t>
        </is>
      </c>
    </row>
    <row r="343">
      <c r="A343" s="3" t="inlineStr">
        <is>
          <t>10-255-020</t>
        </is>
      </c>
      <c r="B343" s="2" t="inlineStr">
        <is>
          <t>Nava 10-255-020  Ωmega tapadásmentes öntött alumínium grillserpenyő, kőbevonattal, 28 cm</t>
        </is>
      </c>
      <c r="C343" s="1" t="n">
        <v>11490.0</v>
      </c>
      <c r="D343" s="7" t="n">
        <f>HYPERLINK("https://www.somogyi.hu/product/nava-10-255-020-mega-tapadasmentes-ontott-aluminium-grillserpenyo-kobevonattal-28-cm-10-255-020-18627","https://www.somogyi.hu/product/nava-10-255-020-mega-tapadasmentes-ontott-aluminium-grillserpenyo-kobevonattal-28-cm-10-255-020-18627")</f>
        <v>0.0</v>
      </c>
      <c r="E343" s="7" t="n">
        <f>HYPERLINK("https://www.somogyi.hu/data/img/product_main_images/small/18627.jpg","https://www.somogyi.hu/data/img/product_main_images/small/18627.jpg")</f>
        <v>0.0</v>
      </c>
      <c r="F343" s="2" t="inlineStr">
        <is>
          <t>5205746159837</t>
        </is>
      </c>
      <c r="G343"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4">
      <c r="A344" s="3" t="inlineStr">
        <is>
          <t>0APE039</t>
        </is>
      </c>
      <c r="B344" s="2" t="inlineStr">
        <is>
          <t>Pedrini 0APE039 rozsdamentes kukta, űrtartalom 5 liter, átmérő 22 cm, 3 rétegű talp, BPA FREE, három biztonsági szeleppel</t>
        </is>
      </c>
      <c r="C344" s="1" t="n">
        <v>32190.0</v>
      </c>
      <c r="D344" s="7" t="n">
        <f>HYPERLINK("https://www.somogyi.hu/product/pedrini-0ape039-rozsdamentes-kukta-urtartalom-5-liter-atmero-22-cm-3-retegu-talp-bpa-free-harom-biztonsagi-szeleppel-0ape039-18194","https://www.somogyi.hu/product/pedrini-0ape039-rozsdamentes-kukta-urtartalom-5-liter-atmero-22-cm-3-retegu-talp-bpa-free-harom-biztonsagi-szeleppel-0ape039-18194")</f>
        <v>0.0</v>
      </c>
      <c r="E344" s="7" t="n">
        <f>HYPERLINK("https://www.somogyi.hu/data/img/product_main_images/small/18194.jpg","https://www.somogyi.hu/data/img/product_main_images/small/18194.jpg")</f>
        <v>0.0</v>
      </c>
      <c r="F344" s="2" t="inlineStr">
        <is>
          <t>0883336420816</t>
        </is>
      </c>
      <c r="G344" s="4" t="inlineStr">
        <is>
          <t>A 22 cm átmérőjű rozsdamentes kukta, 5 literes űrtartalommal rendelkezik. A gyorszáras fedőrész három biztonsági szeleppel van ellátva, így biztosítva a nyomás alatti lezárást. A talp 3 rétegű, acél-alumínium-acél szerkezetű, amely tökéletes, egyenletes hőeloszlást nyújt. A termék indukciós főzőlapon is használható, minden főzőfelületen csökkentett energiafogyasztással főz.  A BPA-mentes felület és a 18/10-es rozsdamentes acél anyagminőség biztosítja, hogy a termék biztonságos és hosszú élettartamú legyen. Ez az olasz minőségű rozsdamentes kukta tökéletes választás minden háztartás számára.</t>
        </is>
      </c>
    </row>
    <row r="345">
      <c r="A345" s="3" t="inlineStr">
        <is>
          <t>10-255-004</t>
        </is>
      </c>
      <c r="B345" s="2" t="inlineStr">
        <is>
          <t>Nava 10-255-004 Ωmega tapadásmentes öntött alumínium serpenyő, kőbevonattal, 28 cm</t>
        </is>
      </c>
      <c r="C345" s="1" t="n">
        <v>10990.0</v>
      </c>
      <c r="D345" s="7" t="n">
        <f>HYPERLINK("https://www.somogyi.hu/product/nava-10-255-004-mega-tapadasmentes-ontott-aluminium-serpenyo-kobevonattal-28-cm-10-255-004-18625","https://www.somogyi.hu/product/nava-10-255-004-mega-tapadasmentes-ontott-aluminium-serpenyo-kobevonattal-28-cm-10-255-004-18625")</f>
        <v>0.0</v>
      </c>
      <c r="E345" s="7" t="n">
        <f>HYPERLINK("https://www.somogyi.hu/data/img/product_main_images/small/18625.jpg","https://www.somogyi.hu/data/img/product_main_images/small/18625.jpg")</f>
        <v>0.0</v>
      </c>
      <c r="F345" s="2" t="inlineStr">
        <is>
          <t>5205746160130</t>
        </is>
      </c>
      <c r="G345"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6">
      <c r="A346" s="3" t="inlineStr">
        <is>
          <t>10-255-003</t>
        </is>
      </c>
      <c r="B346" s="2" t="inlineStr">
        <is>
          <t>Nava 10-255-003 Ωmega tapadásmentes öntött alumínium serpenyő, kőbevonattal, 26 cm</t>
        </is>
      </c>
      <c r="C346" s="1" t="n">
        <v>9990.0</v>
      </c>
      <c r="D346" s="7" t="n">
        <f>HYPERLINK("https://www.somogyi.hu/product/nava-10-255-003-mega-tapadasmentes-ontott-aluminium-serpenyo-kobevonattal-26-cm-10-255-003-18624","https://www.somogyi.hu/product/nava-10-255-003-mega-tapadasmentes-ontott-aluminium-serpenyo-kobevonattal-26-cm-10-255-003-18624")</f>
        <v>0.0</v>
      </c>
      <c r="E346" s="7" t="n">
        <f>HYPERLINK("https://www.somogyi.hu/data/img/product_main_images/small/18624.jpg","https://www.somogyi.hu/data/img/product_main_images/small/18624.jpg")</f>
        <v>0.0</v>
      </c>
      <c r="F346" s="2" t="inlineStr">
        <is>
          <t>5205746159943</t>
        </is>
      </c>
      <c r="G346" s="4" t="inlineStr">
        <is>
          <t>Szeretne egy serpenyőt, ami gyorsan felmelegszik és hosszú ideig tartja a hőt, miközben energiát takaríthat meg? A Nava 10-255-003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7">
      <c r="A347" s="3" t="inlineStr">
        <is>
          <t>10-255-002</t>
        </is>
      </c>
      <c r="B347" s="2" t="inlineStr">
        <is>
          <t>Nava 10-255-002 Ωmega tapadásmentes öntött alumínium serpenyő, kőbevonattal, 24 cm</t>
        </is>
      </c>
      <c r="C347" s="1" t="n">
        <v>8990.0</v>
      </c>
      <c r="D347" s="7" t="n">
        <f>HYPERLINK("https://www.somogyi.hu/product/nava-10-255-002-mega-tapadasmentes-ontott-aluminium-serpenyo-kobevonattal-24-cm-10-255-002-18623","https://www.somogyi.hu/product/nava-10-255-002-mega-tapadasmentes-ontott-aluminium-serpenyo-kobevonattal-24-cm-10-255-002-18623")</f>
        <v>0.0</v>
      </c>
      <c r="E347" s="7" t="n">
        <f>HYPERLINK("https://www.somogyi.hu/data/img/product_main_images/small/18623.jpg","https://www.somogyi.hu/data/img/product_main_images/small/18623.jpg")</f>
        <v>0.0</v>
      </c>
      <c r="F347" s="2" t="inlineStr">
        <is>
          <t>5205746159752</t>
        </is>
      </c>
      <c r="G347" s="4" t="inlineStr">
        <is>
          <t>Szeretne egy serpenyőt, ami gyorsan felmelegszik és hosszú ideig tartja a hőt, miközben energiát takaríthat meg? A Nava 10-255-002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8">
      <c r="A348" s="3" t="inlineStr">
        <is>
          <t>10-255-001</t>
        </is>
      </c>
      <c r="B348" s="2" t="inlineStr">
        <is>
          <t>Nava 10-255-001 Ωmega tapadásmentes öntött alumínium serpenyő, kőbevonattal, 20 cm</t>
        </is>
      </c>
      <c r="C348" s="1" t="n">
        <v>6990.0</v>
      </c>
      <c r="D348" s="7" t="n">
        <f>HYPERLINK("https://www.somogyi.hu/product/nava-10-255-001-mega-tapadasmentes-ontott-aluminium-serpenyo-kobevonattal-20-cm-10-255-001-18622","https://www.somogyi.hu/product/nava-10-255-001-mega-tapadasmentes-ontott-aluminium-serpenyo-kobevonattal-20-cm-10-255-001-18622")</f>
        <v>0.0</v>
      </c>
      <c r="E348" s="7" t="n">
        <f>HYPERLINK("https://www.somogyi.hu/data/img/product_main_images/small/18622.jpg","https://www.somogyi.hu/data/img/product_main_images/small/18622.jpg")</f>
        <v>0.0</v>
      </c>
      <c r="F348" s="2" t="inlineStr">
        <is>
          <t>5205746160048</t>
        </is>
      </c>
      <c r="G348" s="4" t="inlineStr">
        <is>
          <t>Szeretne egy serpenyőt, ami gyorsan felmelegszik és hosszú ideig tartja a hőt, miközben energiát takaríthat meg? A Nava 10-255-001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9">
      <c r="A349" s="3" t="inlineStr">
        <is>
          <t>10-302-001</t>
        </is>
      </c>
      <c r="B349" s="2" t="inlineStr">
        <is>
          <t>NAVA 10-302-001 Imperial tapadásmentes alumínium serpenyő, kőbevonattal, 20cm átmérő</t>
        </is>
      </c>
      <c r="C349" s="1" t="n">
        <v>8790.0</v>
      </c>
      <c r="D349" s="7" t="n">
        <f>HYPERLINK("https://www.somogyi.hu/product/nava-10-302-001-imperial-tapadasmentes-aluminium-serpenyo-kobevonattal-20cm-atmero-10-302-001-18352","https://www.somogyi.hu/product/nava-10-302-001-imperial-tapadasmentes-aluminium-serpenyo-kobevonattal-20cm-atmero-10-302-001-18352")</f>
        <v>0.0</v>
      </c>
      <c r="E349" s="7" t="n">
        <f>HYPERLINK("https://www.somogyi.hu/data/img/product_main_images/small/18352.jpg","https://www.somogyi.hu/data/img/product_main_images/small/18352.jpg")</f>
        <v>0.0</v>
      </c>
      <c r="F349" s="2" t="inlineStr">
        <is>
          <t>5205746179361</t>
        </is>
      </c>
      <c r="G349" s="4" t="inlineStr">
        <is>
          <t>Egy olyan serpenyőtkeres, amely minden típusú tűzhelyen megállja a helyét és még az ételek letapadásával is megbirkózik? A NAVA 10-302-001 Imperial alumínium serpenyő a tökéletes választás.
Ezt a serpenyőt úgy tervezték, hogy megfeleljen a modern konyhák minden igényének: használható gáz-, elektromos-, kerámia-, halogén-, és indukciós tűzhelyeken egyaránt. A 20 cm átmérőjű, 1,2 liter kapacitású és 4,5 mm vastagságú öntött alumíniumból készült serpenyő ideális méretekkel rendelkezik a különböző ételek kisebb mennyiségben történő elkészítéséhez.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0,66 kg, így kezelése egyszerű és kényelmes, magassága pedig 5 cm, ami megfelelő mélységet biztosít kisebb mennyiségű pároláshoz is. 
Válassza a NAVA 10-302-001 Imperial alumínium serpenyőt a hosszú távú kényelem és megbízhatóság érdekében!</t>
        </is>
      </c>
    </row>
    <row r="350">
      <c r="A350" s="3" t="inlineStr">
        <is>
          <t>10-144-100</t>
        </is>
      </c>
      <c r="B350" s="2" t="inlineStr">
        <is>
          <t>NAVA 10-144-100 serpenyő, 20 cm átmérő, tapadásmentes kőbevonat, indukciós főzőlapon is használható, mosogatógépben mosható</t>
        </is>
      </c>
      <c r="C350" s="1" t="n">
        <v>6890.0</v>
      </c>
      <c r="D350" s="7" t="n">
        <f>HYPERLINK("https://www.somogyi.hu/product/nava-10-144-100-serpenyo-20-cm-atmero-tapadasmentes-kobevonat-indukcios-fozolapon-is-hasznalhato-mosogatogepben-moshato-10-144-100-17676","https://www.somogyi.hu/product/nava-10-144-100-serpenyo-20-cm-atmero-tapadasmentes-kobevonat-indukcios-fozolapon-is-hasznalhato-mosogatogepben-moshato-10-144-100-17676")</f>
        <v>0.0</v>
      </c>
      <c r="E350" s="7" t="n">
        <f>HYPERLINK("https://www.somogyi.hu/data/img/product_main_images/small/17676.jpg","https://www.somogyi.hu/data/img/product_main_images/small/17676.jpg")</f>
        <v>0.0</v>
      </c>
      <c r="F350" s="2" t="inlineStr">
        <is>
          <t>5205746087253</t>
        </is>
      </c>
      <c r="G350" s="4" t="inlineStr">
        <is>
          <t>A Nava Serpenyő tapadásmentes kőbevonattal minden háztartás nélkülözhetetlen felszerelése. Indukciós, kerámia és gáz főzőlapon is egyaránt használható. A speciális tapadásmentes bevonatának köszönhetően az ételek nem tapadnak le benne, és a tisztítása is rendkívül egyszerű. A serpenyő átmérője 20 cm, így tökéletesen megfelel kisebb adagok elkészítéséhez. Akár mosogatógépben is mosható. A fa mintázatú nyéllel ellátott serpenyő elegáns kiegészítője lehet bármely konyhának.</t>
        </is>
      </c>
    </row>
    <row r="351">
      <c r="A351" s="3" t="inlineStr">
        <is>
          <t>10-302-003</t>
        </is>
      </c>
      <c r="B351" s="2" t="inlineStr">
        <is>
          <t>NAVA 10-302-003 Imperial tapadásmentes alumínium serpenyő, kőbevonattal, 24cm átmérő</t>
        </is>
      </c>
      <c r="C351" s="1" t="n">
        <v>11490.0</v>
      </c>
      <c r="D351" s="7" t="n">
        <f>HYPERLINK("https://www.somogyi.hu/product/nava-10-302-003-imperial-tapadasmentes-aluminium-serpenyo-kobevonattal-24cm-atmero-10-302-003-18353","https://www.somogyi.hu/product/nava-10-302-003-imperial-tapadasmentes-aluminium-serpenyo-kobevonattal-24cm-atmero-10-302-003-18353")</f>
        <v>0.0</v>
      </c>
      <c r="E351" s="7" t="n">
        <f>HYPERLINK("https://www.somogyi.hu/data/img/product_main_images/small/18353.jpg","https://www.somogyi.hu/data/img/product_main_images/small/18353.jpg")</f>
        <v>0.0</v>
      </c>
      <c r="F351" s="2" t="inlineStr">
        <is>
          <t>5205746179323</t>
        </is>
      </c>
      <c r="G351" s="4" t="inlineStr">
        <is>
          <t>Egy olyan serpenyőt keres, amely minden típusú tűzhelyen megállja a helyét és még az ételek letapadásával is megbirkózik? A NAVA 10-302-003 Imperial alumínium serpenyő a tökéletes választás.
Ezt a serpenyőt úgy tervezték, hogy megfeleljen a modern konyhák minden igényének: használható gáz-, elektromos-, kerámia-, halogén-, és indukciós tűzhelyeken egyaránt. A 24 cm átmérőjű, 1,8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0,83 kg, így kezelése egyszerű és kényelmes, magassága pedig 5,5 cm, ami ideális mélységet biztosít a sütéshez és pároláshoz is. 
Válassza a NAVA 10-302-003 Imperial alumínium serpenyőt a hosszú távú kényelem és megbízhatóság érdekében!</t>
        </is>
      </c>
    </row>
    <row r="352">
      <c r="A352" s="3" t="inlineStr">
        <is>
          <t>10-302-004</t>
        </is>
      </c>
      <c r="B352" s="2" t="inlineStr">
        <is>
          <t>NAVA 10-302-004 Imperial tapadásmentes alumínium serpenyő, kőbevonattal, 26cm átmérő</t>
        </is>
      </c>
      <c r="C352" s="1" t="n">
        <v>13290.0</v>
      </c>
      <c r="D352" s="7" t="n">
        <f>HYPERLINK("https://www.somogyi.hu/product/nava-10-302-004-imperial-tapadasmentes-aluminium-serpenyo-kobevonattal-26cm-atmero-10-302-004-18354","https://www.somogyi.hu/product/nava-10-302-004-imperial-tapadasmentes-aluminium-serpenyo-kobevonattal-26cm-atmero-10-302-004-18354")</f>
        <v>0.0</v>
      </c>
      <c r="E352" s="7" t="n">
        <f>HYPERLINK("https://www.somogyi.hu/data/img/product_main_images/small/18354.jpg","https://www.somogyi.hu/data/img/product_main_images/small/18354.jpg")</f>
        <v>0.0</v>
      </c>
      <c r="F352" s="2" t="inlineStr">
        <is>
          <t>5205746000115</t>
        </is>
      </c>
      <c r="G352" s="4" t="inlineStr">
        <is>
          <t>Egy olyan serpenyőt keres, amely minden típusú tűzhelyen megállja a helyét és még az ételek letapadásával is megbirkózik? A NAVA 10-302-004 Imperial alumínium serpenyő a tökéletes választás.
Ezt a serpenyőt úgy tervezték, hogy megfeleljen a modern konyhák minden igényének: használható gáz-, elektromos-, kerámia-, halogén-, és indukciós tűzhelyeken egyaránt. A 26 cm átmérőjű, 2,5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0,93 kg, így kezelése egyszerű és kényelmes, magassága pedig 8 cm, ami ideális mélységet biztosít a sütéshez és pároláshoz is. 
Válassza a NAVA 10-302-004 Imperial alumínium serpenyőt a hosszú távú kényelem és megbízhatóság érdekében!</t>
        </is>
      </c>
    </row>
    <row r="353">
      <c r="A353" s="3" t="inlineStr">
        <is>
          <t>10-144-103</t>
        </is>
      </c>
      <c r="B353" s="2" t="inlineStr">
        <is>
          <t>Nava 10-144-103 Nature tapadásmentes serpenyő, kőbevonattal, 28 cm átmérő</t>
        </is>
      </c>
      <c r="C353" s="1" t="n">
        <v>11190.0</v>
      </c>
      <c r="D353" s="7" t="n">
        <f>HYPERLINK("https://www.somogyi.hu/product/nava-10-144-103-nature-tapadasmentes-serpenyo-kobevonattal-28-cm-atmero-10-144-103-17677","https://www.somogyi.hu/product/nava-10-144-103-nature-tapadasmentes-serpenyo-kobevonattal-28-cm-atmero-10-144-103-17677")</f>
        <v>0.0</v>
      </c>
      <c r="E353" s="7" t="n">
        <f>HYPERLINK("https://www.somogyi.hu/data/img/product_main_images/small/17677.jpg","https://www.somogyi.hu/data/img/product_main_images/small/17677.jpg")</f>
        <v>0.0</v>
      </c>
      <c r="F353" s="2" t="inlineStr">
        <is>
          <t>5205746087079</t>
        </is>
      </c>
      <c r="G353" s="4" t="inlineStr">
        <is>
          <t>Egy serpenyőt keres, amelyikkel egészségesen és hatékonyan készítheti el kedvenc ételeit? Fedezze fel a 28cm átmérőjű Nava 10-144-103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54">
      <c r="A354" s="3" t="inlineStr">
        <is>
          <t>10-144-110</t>
        </is>
      </c>
      <c r="B354" s="2" t="inlineStr">
        <is>
          <t>Nava 10-144-110 Nature tapadásmentes Wok serpenyő, kőbevonattal, 28 cm</t>
        </is>
      </c>
      <c r="C354" s="1" t="n">
        <v>12490.0</v>
      </c>
      <c r="D354" s="7" t="n">
        <f>HYPERLINK("https://www.somogyi.hu/product/nava-10-144-110-nature-tapadasmentes-wok-serpenyo-kobevonattal-28-cm-10-144-110-17678","https://www.somogyi.hu/product/nava-10-144-110-nature-tapadasmentes-wok-serpenyo-kobevonattal-28-cm-10-144-110-17678")</f>
        <v>0.0</v>
      </c>
      <c r="E354" s="7" t="n">
        <f>HYPERLINK("https://www.somogyi.hu/data/img/product_main_images/small/17678.jpg","https://www.somogyi.hu/data/img/product_main_images/small/17678.jpg")</f>
        <v>0.0</v>
      </c>
      <c r="F354" s="2" t="inlineStr">
        <is>
          <t>5205746087406</t>
        </is>
      </c>
      <c r="G354" s="4" t="inlineStr">
        <is>
          <t>Egy wok serpenyőt keres, amelyikkel egészségesen és hatékonyan készítheti el kedvenc ételeit? Fedezze fel a 28cm átmérőjű Nava 10-144-110 Nature tapadásmentes Wok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wok serpenyő hirtelen hőmérséklet-változásoknak ellenáll, és nagyon könnyen tisztítható.
Minden tűzhelytípushoz alkalmas: gáz, elektromos, kerámia, halogén és indukciós. Aljának átmérője: 16,5cm.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Wok nem csak a konyhájának praktikus kiegészítője, hanem hosszú távon megbízható társa is lesz az egészséges és ízletes ételek elkészítésében. Ne várjon tovább, tegye meg az első lépést a minőségi és ízletes főzés felé még ma!</t>
        </is>
      </c>
    </row>
    <row r="355">
      <c r="A355" s="3" t="inlineStr">
        <is>
          <t>10-144-112</t>
        </is>
      </c>
      <c r="B355" s="2" t="inlineStr">
        <is>
          <t>Nava 10-144-112 Nature tapadásmantes  palacsintasütő, kőbevonattal, 24 cm</t>
        </is>
      </c>
      <c r="C355" s="1" t="n">
        <v>8590.0</v>
      </c>
      <c r="D355" s="7" t="n">
        <f>HYPERLINK("https://www.somogyi.hu/product/nava-10-144-112-nature-tapadasmantes-palacsintasuto-kobevonattal-24-cm-10-144-112-17679","https://www.somogyi.hu/product/nava-10-144-112-nature-tapadasmantes-palacsintasuto-kobevonattal-24-cm-10-144-112-17679")</f>
        <v>0.0</v>
      </c>
      <c r="E355" s="7" t="n">
        <f>HYPERLINK("https://www.somogyi.hu/data/img/product_main_images/small/17679.jpg","https://www.somogyi.hu/data/img/product_main_images/small/17679.jpg")</f>
        <v>0.0</v>
      </c>
      <c r="F355" s="2" t="inlineStr">
        <is>
          <t>5205746087468</t>
        </is>
      </c>
      <c r="G355" s="4" t="inlineStr">
        <is>
          <t>Egy palacsintasütőt keres, amelyikkel egészségesen és hatékonyan készítheti el kedvenc ételeit? Fedezze fel a 24cm átmérőjű Nava 10-144-112 Nature tapadásmentes  palacsintasütő,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palacsintasütő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palacsintasütőt üresen, és távolítsa el a tűzhelyről, mielőtt a tartalma elpárologna. Alacsony vagy közepes hő elegendő a legjobb főzési eredmények eléréséhez. A palacsintasütő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palacsintasütőben. Használjon olyan tűzhelyet, amely azonos méretű vagy kisebb, mint a palacsintasütő alja. Ne hevítse túl a zsírt vagy az olajat füstölésig, égésig. Ne használjon fémszivacsokat, drótot vagy erős tisztítószereket. A tapadásmentes bevonat megfelel az élelmiszerrel való érintkezésre vonatkozó előírásoknak.
A Nava Nature palacsintasütő nem csak a konyhájának praktikus kiegészítője, hanem hosszú távon megbízható társa is lesz az egészséges és ízletes ételek elkészítésében. Ne várjon tovább, tegye meg az első lépést a minőségi és ízletes főzés felé még ma!</t>
        </is>
      </c>
    </row>
    <row r="356">
      <c r="A356" s="3" t="inlineStr">
        <is>
          <t>10-255-011</t>
        </is>
      </c>
      <c r="B356" s="2" t="inlineStr">
        <is>
          <t>Nava 10-255-011  Ωmega tapadásmentes öntött alumínium serpenyő fedéllel, kőbevonattal, 28 cm</t>
        </is>
      </c>
      <c r="C356" s="1" t="n">
        <v>18490.0</v>
      </c>
      <c r="D356" s="7" t="n">
        <f>HYPERLINK("https://www.somogyi.hu/product/nava-10-255-011-mega-tapadasmentes-ontott-aluminium-serpenyo-fedellel-kobevonattal-28-cm-10-255-011-18626","https://www.somogyi.hu/product/nava-10-255-011-mega-tapadasmentes-ontott-aluminium-serpenyo-fedellel-kobevonattal-28-cm-10-255-011-18626")</f>
        <v>0.0</v>
      </c>
      <c r="E356" s="7" t="n">
        <f>HYPERLINK("https://www.somogyi.hu/data/img/product_main_images/small/18626.jpg","https://www.somogyi.hu/data/img/product_main_images/small/18626.jpg")</f>
        <v>0.0</v>
      </c>
      <c r="F356" s="2" t="inlineStr">
        <is>
          <t>5205746160024</t>
        </is>
      </c>
      <c r="G356"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7">
      <c r="A357" s="6" t="inlineStr">
        <is>
          <t xml:space="preserve">   Háztartási gép, eszköz / Edények</t>
        </is>
      </c>
      <c r="B357" s="6" t="inlineStr">
        <is>
          <t/>
        </is>
      </c>
      <c r="C357" s="6" t="inlineStr">
        <is>
          <t/>
        </is>
      </c>
      <c r="D357" s="6" t="inlineStr">
        <is>
          <t/>
        </is>
      </c>
      <c r="E357" s="6" t="inlineStr">
        <is>
          <t/>
        </is>
      </c>
      <c r="F357" s="6" t="inlineStr">
        <is>
          <t/>
        </is>
      </c>
      <c r="G357" s="6" t="inlineStr">
        <is>
          <t/>
        </is>
      </c>
    </row>
    <row r="358">
      <c r="A358" s="3" t="inlineStr">
        <is>
          <t>10-266-013</t>
        </is>
      </c>
      <c r="B358" s="2" t="inlineStr">
        <is>
          <t>Nava 10-266-013 Acer rozsdamentes acél kukta, 6 liter, biztonsági szelep</t>
        </is>
      </c>
      <c r="C358" s="1" t="n">
        <v>23990.0</v>
      </c>
      <c r="D358" s="7" t="n">
        <f>HYPERLINK("https://www.somogyi.hu/product/nava-10-266-013-acer-rozsdamentes-acel-kukta-6-liter-biztonsagi-szelep-10-266-013-18686","https://www.somogyi.hu/product/nava-10-266-013-acer-rozsdamentes-acel-kukta-6-liter-biztonsagi-szelep-10-266-013-18686")</f>
        <v>0.0</v>
      </c>
      <c r="E358" s="7" t="n">
        <f>HYPERLINK("https://www.somogyi.hu/data/img/product_main_images/small/18686.jpg","https://www.somogyi.hu/data/img/product_main_images/small/18686.jpg")</f>
        <v>0.0</v>
      </c>
      <c r="F358" s="2" t="inlineStr">
        <is>
          <t>5205746168792</t>
        </is>
      </c>
      <c r="G358" s="4" t="inlineStr">
        <is>
          <t>Szeretné felgyorsítani a főzési folyamatot, miközben megőrzi az ételek tápanyagtartalmát? A Nava 10-266-013 Acer rozsdamentes acél kukta tökéletes választás a gyors és egészséges ételek elkészítéséhez.
A 6 liter űrtartalmú kukta CE szabványoknak megfelelő specifikációkkal rendelkezik, 18/8-as (SS 304) rozsdamentes acélból készült 1mm-es falvastagsággal. A fedél anyaga 1,2mm-es vastag rozsdamentes acél, míg az alját rozsdamentes acélból és alumíniumból álló háromrétegű, 4,5mm vastagságú anyag képezi, ami kiváló hőelosztást biztosít.
A szilikon tömítőgyűrűvel ellátott kukta belsejében található űrtartalom-skála fél literes léptékekkel van megjelölve a maximális űrtartalomig. A nyomásszabályozó szelep két különböző nyomásszintet kínál működés közben, az első szint 60kPa±10%, míg a második szint 100kPa±10%. A kukta ergonomikus bakelit fogantyúkkal van ellátva, amelyek biztonságos fogást és szállítást tesznek lehetővé.
A kukta három alternatív biztonsági rendszerrel rendelkezik: egy nyomásszabályozó szelep (két nyomásszinttel), egy gőzkiengedő szelep és egy biztonsági ablak. A maximális biztonsági határértékek a következők: 1. szint: 60-100kPa (nyomásszabályozó szelep), 2. szint: 120-160kPa (gőzkiengedő biztonsági szelep), 3. szint: 180-300kPa (biztonsági ablak).
A kuktát minden típusú tűzhelyen használhatja, átmérője 22 cm, aljának átmérője 19,5 cm, a maximális belső nyomás pedig 360kPa. A fedél biztonsági funkciói közé tartozik, hogy 4kPa feletti belső nyomás esetén nem nyitható ki, míg 4kPa alatti belső nyomásnál nem növelhető a nyomás, ha a fedél nem megfelelően van lezárva.
Figyelem: Ez a kukta kizárólag kis mennyiségű étel elkészítésére szolgál kizárólag magánháztartásokban, és nem alkalmas professzionális használatra.
Főzzön gyorsan, egészségesen és kényelmesen a Nava Acer rozsdamentes acél kuktával, amely konyhájának elengedhetetlen társa lesz. Fedezze fel a gyors főzés minden előnyét, és élvezze az ízletes, tápanyagban gazdag ételeket nap mint nap!</t>
        </is>
      </c>
    </row>
    <row r="359">
      <c r="A359" s="3" t="inlineStr">
        <is>
          <t>10-255-035</t>
        </is>
      </c>
      <c r="B359" s="2" t="inlineStr">
        <is>
          <t>Nava 10-255-035 Ωmega tapadásmentes öntött alumínium pecsenyesütő fedővel, kőbevonattal, 26 cm</t>
        </is>
      </c>
      <c r="C359" s="1" t="n">
        <v>16990.0</v>
      </c>
      <c r="D359" s="7" t="n">
        <f>HYPERLINK("https://www.somogyi.hu/product/nava-10-255-035-mega-tapadasmentes-ontott-aluminium-pecsenyesuto-fedovel-kobevonattal-26-cm-10-255-035-18632","https://www.somogyi.hu/product/nava-10-255-035-mega-tapadasmentes-ontott-aluminium-pecsenyesuto-fedovel-kobevonattal-26-cm-10-255-035-18632")</f>
        <v>0.0</v>
      </c>
      <c r="E359" s="7" t="n">
        <f>HYPERLINK("https://www.somogyi.hu/data/img/product_main_images/small/18632.jpg","https://www.somogyi.hu/data/img/product_main_images/small/18632.jpg")</f>
        <v>0.0</v>
      </c>
      <c r="F359" s="2" t="inlineStr">
        <is>
          <t>5205746159790</t>
        </is>
      </c>
      <c r="G359" s="4" t="inlineStr">
        <is>
          <t>Szeretne egy pecsenyesütőt, ami gyorsan felmelegszik és hosszú ideig tartja a hőt, miközben energiát takaríthat meg? A Nava 10-255-035 Ωmega tapadásmentes öntött alumínium pecsenyesütő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pecsenyesütő tökéletesen illeszkedik a főzőlapra, így a hő egyenletesen oszlik el a pecsenyesütő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pecsenyesütőt langyos, szappanos vízzel és puha szivaccsal.
* Minden használat előtt kenje be a pecsenyesütő belső felületét olajjal vagy vajjal.
* Ne hevítse túl a pecsenyesütőt üresen, és vegye le a tűzhelyről, mielőtt a tartalma teljesen elpárologna.
* Alacsony vagy közepes hő elegendő a legjobb sütési eredmények eléréséhez.
* A pecsenyesütő kapacitásának több mint 2/3-ával ne töltse meg, hogy elkerülje a túlcsordulást.
* A pecsenyesütő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pecsenyesütő alja.
* Ne hevítse túl a zsiradékot vagy olajat, ne füstöljön, égjen vagy feketedjen meg.
* Fém szivacsok, drót vagy erős tisztítószerek használata nem ajánlott.
Fedezze fel a Nava Ωmega tapadásmentes öntött alumínium pecsenyesütő nyújtotta kivételes főzési élményt!</t>
        </is>
      </c>
    </row>
    <row r="360">
      <c r="A360" s="3" t="inlineStr">
        <is>
          <t>10-255-033</t>
        </is>
      </c>
      <c r="B360" s="2" t="inlineStr">
        <is>
          <t>Nava 10-255-033 Ωmega tapadásmentes öntött alumínium lábas fedővel, kőbevonattal, 28 cm</t>
        </is>
      </c>
      <c r="C360" s="1" t="n">
        <v>21490.0</v>
      </c>
      <c r="D360" s="7" t="n">
        <f>HYPERLINK("https://www.somogyi.hu/product/nava-10-255-033-mega-tapadasmentes-ontott-aluminium-labas-fedovel-kobevonattal-28-cm-10-255-033-18631","https://www.somogyi.hu/product/nava-10-255-033-mega-tapadasmentes-ontott-aluminium-labas-fedovel-kobevonattal-28-cm-10-255-033-18631")</f>
        <v>0.0</v>
      </c>
      <c r="E360" s="7" t="n">
        <f>HYPERLINK("https://www.somogyi.hu/data/img/product_main_images/small/18631.jpg","https://www.somogyi.hu/data/img/product_main_images/small/18631.jpg")</f>
        <v>0.0</v>
      </c>
      <c r="F360" s="2" t="inlineStr">
        <is>
          <t>5205746159981</t>
        </is>
      </c>
      <c r="G360" s="4" t="inlineStr">
        <is>
          <t>Szeretne egy lábast, ami gyorsan felmelegszik és hosszú ideig tartja a hőt, miközben energiát takaríthat meg? A Nava 10-255-033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1">
      <c r="A361" s="3" t="inlineStr">
        <is>
          <t>10-255-031</t>
        </is>
      </c>
      <c r="B361" s="2" t="inlineStr">
        <is>
          <t>Nava 10-255-031 Ωmega tapadásmentes öntött alumínium lábas fedővel, kőbevonattal, 24 cm</t>
        </is>
      </c>
      <c r="C361" s="1" t="n">
        <v>16990.0</v>
      </c>
      <c r="D361" s="7" t="n">
        <f>HYPERLINK("https://www.somogyi.hu/product/nava-10-255-031-mega-tapadasmentes-ontott-aluminium-labas-fedovel-kobevonattal-24-cm-10-255-031-18630","https://www.somogyi.hu/product/nava-10-255-031-mega-tapadasmentes-ontott-aluminium-labas-fedovel-kobevonattal-24-cm-10-255-031-18630")</f>
        <v>0.0</v>
      </c>
      <c r="E361" s="7" t="n">
        <f>HYPERLINK("https://www.somogyi.hu/data/img/product_main_images/small/18630.jpg","https://www.somogyi.hu/data/img/product_main_images/small/18630.jpg")</f>
        <v>0.0</v>
      </c>
      <c r="F361" s="2" t="inlineStr">
        <is>
          <t>5205746160611</t>
        </is>
      </c>
      <c r="G361" s="4" t="inlineStr">
        <is>
          <t>Szeretne egy lábast, ami gyorsan felmelegszik és hosszú ideig tartja a hőt, miközben energiát takaríthat meg? A Nava 10-255-031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2">
      <c r="A362" s="3" t="inlineStr">
        <is>
          <t>10-255-025</t>
        </is>
      </c>
      <c r="B362" s="2" t="inlineStr">
        <is>
          <t>Nava 10-255-025 Ωmega tapadásmentes öntött alumínium lábas fedővel, kőbevonattal, 16 cm</t>
        </is>
      </c>
      <c r="C362" s="1" t="n">
        <v>10990.0</v>
      </c>
      <c r="D362" s="7" t="n">
        <f>HYPERLINK("https://www.somogyi.hu/product/nava-10-255-025-mega-tapadasmentes-ontott-aluminium-labas-fedovel-kobevonattal-16-cm-10-255-025-18628","https://www.somogyi.hu/product/nava-10-255-025-mega-tapadasmentes-ontott-aluminium-labas-fedovel-kobevonattal-16-cm-10-255-025-18628")</f>
        <v>0.0</v>
      </c>
      <c r="E362" s="7" t="n">
        <f>HYPERLINK("https://www.somogyi.hu/data/img/product_main_images/small/18628.jpg","https://www.somogyi.hu/data/img/product_main_images/small/18628.jpg")</f>
        <v>0.0</v>
      </c>
      <c r="F362" s="2" t="inlineStr">
        <is>
          <t>5205746160604</t>
        </is>
      </c>
      <c r="G362" s="4" t="inlineStr">
        <is>
          <t>Szeretne egy lábast, ami gyorsan felmelegszik és hosszú ideig tartja a hőt, miközben energiát takaríthat meg? A Nava 10-255-025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16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3">
      <c r="A363" s="3" t="inlineStr">
        <is>
          <t>10-144-121</t>
        </is>
      </c>
      <c r="B363" s="2" t="inlineStr">
        <is>
          <t>Nava 10-144-121 Nature tapadásmentes lábas, kőbevonattal, hőálló fogantyú, üvegfedő, 24 cm</t>
        </is>
      </c>
      <c r="C363" s="1" t="n">
        <v>11990.0</v>
      </c>
      <c r="D363" s="7" t="n">
        <f>HYPERLINK("https://www.somogyi.hu/product/nava-10-144-121-nature-tapadasmentes-labas-kobevonattal-hoallo-fogantyu-uvegfedo-24-cm-10-144-121-18616","https://www.somogyi.hu/product/nava-10-144-121-nature-tapadasmentes-labas-kobevonattal-hoallo-fogantyu-uvegfedo-24-cm-10-144-121-18616")</f>
        <v>0.0</v>
      </c>
      <c r="E363" s="7" t="n">
        <f>HYPERLINK("https://www.somogyi.hu/data/img/product_main_images/small/18616.jpg","https://www.somogyi.hu/data/img/product_main_images/small/18616.jpg")</f>
        <v>0.0</v>
      </c>
      <c r="F363" s="2" t="inlineStr">
        <is>
          <t>5205746087291</t>
        </is>
      </c>
      <c r="G363" s="4" t="inlineStr">
        <is>
          <t>Egy lábast keres, amelyikkel egészségesen és hatékonyan készítheti el kedvenc ételeit? Fedezze fel a 24cm átmérőjű Nava 10-144-121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18cm, űrtartalma 4,5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4">
      <c r="A364" s="3" t="inlineStr">
        <is>
          <t>10-144-120</t>
        </is>
      </c>
      <c r="B364" s="2" t="inlineStr">
        <is>
          <t>Nava 10-144-120 Nature tapadásmentes lábas, kőbevonattal, hőálló fogantyú, üvegfedő, 20 cm</t>
        </is>
      </c>
      <c r="C364" s="1" t="n">
        <v>12690.0</v>
      </c>
      <c r="D364" s="7" t="n">
        <f>HYPERLINK("https://www.somogyi.hu/product/nava-10-144-120-nature-tapadasmentes-labas-kobevonattal-hoallo-fogantyu-uvegfedo-20-cm-10-144-120-17680","https://www.somogyi.hu/product/nava-10-144-120-nature-tapadasmentes-labas-kobevonattal-hoallo-fogantyu-uvegfedo-20-cm-10-144-120-17680")</f>
        <v>0.0</v>
      </c>
      <c r="E364" s="7" t="n">
        <f>HYPERLINK("https://www.somogyi.hu/data/img/product_main_images/small/17680.jpg","https://www.somogyi.hu/data/img/product_main_images/small/17680.jpg")</f>
        <v>0.0</v>
      </c>
      <c r="F364" s="2" t="inlineStr">
        <is>
          <t>5205746087048</t>
        </is>
      </c>
      <c r="G364" s="4" t="inlineStr">
        <is>
          <t>Egy lábast keres, amelyikkel egészségesen és hatékonyan készítheti el kedvenc ételeit? Fedezze fel a 20cm átmérőjű Nava 10-144-120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14cm, űrtartalma 2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5">
      <c r="A365" s="3" t="inlineStr">
        <is>
          <t>10-144-122</t>
        </is>
      </c>
      <c r="B365" s="2" t="inlineStr">
        <is>
          <t>Nava 10-144-122 Nature tapadásmentes lábas, kőbevonattal, hőálló fogantyú, üvegfedő, 28 cm</t>
        </is>
      </c>
      <c r="C365" s="1" t="n">
        <v>18990.0</v>
      </c>
      <c r="D365" s="7" t="n">
        <f>HYPERLINK("https://www.somogyi.hu/product/nava-10-144-122-nature-tapadasmentes-labas-kobevonattal-hoallo-fogantyu-uvegfedo-28-cm-10-144-122-17681","https://www.somogyi.hu/product/nava-10-144-122-nature-tapadasmentes-labas-kobevonattal-hoallo-fogantyu-uvegfedo-28-cm-10-144-122-17681")</f>
        <v>0.0</v>
      </c>
      <c r="E365" s="7" t="n">
        <f>HYPERLINK("https://www.somogyi.hu/data/img/product_main_images/small/17681.jpg","https://www.somogyi.hu/data/img/product_main_images/small/17681.jpg")</f>
        <v>0.0</v>
      </c>
      <c r="F365" s="2" t="inlineStr">
        <is>
          <t>5205746087222</t>
        </is>
      </c>
      <c r="G365" s="4" t="inlineStr">
        <is>
          <t>Egy lábast keres, amelyikkel egészségesen és hatékonyan készítheti el kedvenc ételeit? Fedezze fel a 28cm átmérőjű Nava 10-144-122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19cm, űrtartalma 6,6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6">
      <c r="A366" s="3" t="inlineStr">
        <is>
          <t>10-144-130</t>
        </is>
      </c>
      <c r="B366" s="2" t="inlineStr">
        <is>
          <t>Nava 10-144-130 Nature tapadásmentes pecsenyesütő, kőbevonattal, hőálló fogantyú, üvegfedő, 28 cm</t>
        </is>
      </c>
      <c r="C366" s="1" t="n">
        <v>15790.0</v>
      </c>
      <c r="D366" s="7" t="n">
        <f>HYPERLINK("https://www.somogyi.hu/product/nava-10-144-130-nature-tapadasmentes-pecsenyesuto-kobevonattal-hoallo-fogantyu-uvegfedo-28-cm-10-144-130-17682","https://www.somogyi.hu/product/nava-10-144-130-nature-tapadasmentes-pecsenyesuto-kobevonattal-hoallo-fogantyu-uvegfedo-28-cm-10-144-130-17682")</f>
        <v>0.0</v>
      </c>
      <c r="E366" s="7" t="n">
        <f>HYPERLINK("https://www.somogyi.hu/data/img/product_main_images/small/17682.jpg","https://www.somogyi.hu/data/img/product_main_images/small/17682.jpg")</f>
        <v>0.0</v>
      </c>
      <c r="F366" s="2" t="inlineStr">
        <is>
          <t>5205746087567</t>
        </is>
      </c>
      <c r="G366" s="4" t="inlineStr">
        <is>
          <t>A 28 cm átmérőjű Nava Pecsenyesütő elengedhetetlen konyhai felszerelés az otthoni főzéshez. Használható indukciós, kerámia vagy gáz főzőlapon egyaránt.  A tapadásmentes kőbevonatnak köszönhetően az ételek nem ragadnak le a felületen, így azok egyszerűen elkészíthetők. A pecsenyesütő fa mintázatú fogantyúkkal és üveg fedéllel van ellátva, amely praktikus funkciókat biztosít. A kiváló minőségű anyagokból készült termék tartós és hosszú élettartamú. Az edény rendkívül könnyen tisztítható, akár mosogatógépben is mosható. Ne habozzon, szerezze be Ön is ezt az elengedhetetlen konyhai eszközt a finom ételek elkészítéséhez!</t>
        </is>
      </c>
    </row>
    <row r="367">
      <c r="A367" s="3" t="inlineStr">
        <is>
          <t>10-053-001</t>
        </is>
      </c>
      <c r="B367" s="2" t="inlineStr">
        <is>
          <t>Nava 10-053-001 ovális zománcozott kacsasütő, 42 cm</t>
        </is>
      </c>
      <c r="C367" s="1" t="n">
        <v>8990.0</v>
      </c>
      <c r="D367" s="7" t="n">
        <f>HYPERLINK("https://www.somogyi.hu/product/nava-10-053-001-ovalis-zomancozott-kacsasuto-42-cm-10-053-001-18635","https://www.somogyi.hu/product/nava-10-053-001-ovalis-zomancozott-kacsasuto-42-cm-10-053-001-18635")</f>
        <v>0.0</v>
      </c>
      <c r="E367" s="7" t="n">
        <f>HYPERLINK("https://www.somogyi.hu/data/img/product_main_images/small/18635.jpg","https://www.somogyi.hu/data/img/product_main_images/small/18635.jpg")</f>
        <v>0.0</v>
      </c>
      <c r="F367" s="2" t="inlineStr">
        <is>
          <t>5205746866735</t>
        </is>
      </c>
      <c r="G367" s="4" t="inlineStr">
        <is>
          <t>Kíváncsi rá, hogyan varázsolhat ízletes és egyenletesen sült ételeket otthonában? A Nava 10-053-001 ovális zománcozott kacsasütővel mindez gyerekjáték!
Ez a kiváló minőségű (42 cm hosszú, 32 cm széles, 19 cm magas és 6 literes űrtartalmú), fedéllel ellátott zománcozott sütő tökéletes választás. A zománc anyaga gyorsan felmelegszik és lassan hűl le, így hosszabb ideig melegen tartja az elkészült ételeket. Biztosítja az egyenletes hőeloszlást a sütés során, nagy ellenállást mutat a karcolásokkal és a magas hőmérséklettel szemben, könnyű, így egyszerűen hordozható és tisztítható.
Néhány tipp, hogy sokáig használhassa a terméket:
* Az első használat előtt mosogassa el a sütőt meleg, szappanos vízzel és puha szivaccsal
* Minden használat előtt kenje be a sütő belső felületét olajjal vagy vajjal
* Ne hevítse túl az üres sütőt
* Alacsony vagy közepes hőmérséklet elegendő a legjobb sütési eredmények eléréséhez. A maximális hőmérséklet ne haladja meg a 230°C-t
* Ne töltse a sütőt annál többel, mint annak 2/3-a, hogy elkerülje a túlcsordulást
* Hagyja a sütőt lehűlni, majd mosogassa el meleg, szappanos vízzel és puha szivaccsal
* Használjon fa, műanyag vagy szilikon konyhai eszközöket a tapadásmentes bevonat hosszabb élettartama érdekében
* Soha ne vágjon ételeket a sütőben éles eszközökkel
* Kerülje a savas összetevők (pl. paradicsomszósz, citruslé) használatát
* Kerülje azokat az összetevőket, amelyek megfoghatják a sütőt, mint például a sáfrány, a kurkuma stb. Az említett vagy hasonló összetevők által okozott színelváltozások nem tekinthetők hibának, mivel nem befolyásolják a sütő minőségét és nem termelnek az emberi szervezet számára toxikus vagy más veszélyes anyagokat
* A sütőpapír használata meghosszabbítja a sütő és a tapadásmentes bevonat élettartamát
* Kézi mosogatás ajánlott a sütő hosszabb élettartama érdekében
* Kerülje a fém szivacsok, drótok vagy erős tisztítószerek használatát
A tapadásmentes bevonat megfelel az élelmiszerekkel érintkező anyagokra vonatkozó előírásoknak.
Méreteivel ez a sütő ideális választás nagyobb családi összejövetelekhez vagy baráti vacsorákhoz. Fedezze fel a Nava ovális zománcozott kacsasütő nyújtotta lehetőségeket, és élvezze a kényelmes, egészséges és ízletes sütés minden előnyét!</t>
        </is>
      </c>
    </row>
    <row r="368">
      <c r="A368" s="3" t="inlineStr">
        <is>
          <t>10-255-030</t>
        </is>
      </c>
      <c r="B368" s="2" t="inlineStr">
        <is>
          <t>Nava 10-255-030 Ωmega tapadásmentes öntött alumínium lábas fedővel, kőbevonattal, 20 cm</t>
        </is>
      </c>
      <c r="C368" s="1" t="n">
        <v>13990.0</v>
      </c>
      <c r="D368" s="7" t="n">
        <f>HYPERLINK("https://www.somogyi.hu/product/nava-10-255-030-mega-tapadasmentes-ontott-aluminium-labas-fedovel-kobevonattal-20-cm-10-255-030-18629","https://www.somogyi.hu/product/nava-10-255-030-mega-tapadasmentes-ontott-aluminium-labas-fedovel-kobevonattal-20-cm-10-255-030-18629")</f>
        <v>0.0</v>
      </c>
      <c r="E368" s="7" t="n">
        <f>HYPERLINK("https://www.somogyi.hu/data/img/product_main_images/small/18629.jpg","https://www.somogyi.hu/data/img/product_main_images/small/18629.jpg")</f>
        <v>0.0</v>
      </c>
      <c r="F368" s="2" t="inlineStr">
        <is>
          <t>5205746159851</t>
        </is>
      </c>
      <c r="G368" s="4" t="inlineStr">
        <is>
          <t>Szeretne egy lábast, ami gyorsan felmelegszik és hosszú ideig tartja a hőt, miközben energiát takaríthat meg? A Nava 10-255-030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9">
      <c r="A369" s="6" t="inlineStr">
        <is>
          <t xml:space="preserve">   Háztartási gép, eszköz / Tepsi, sütőforma</t>
        </is>
      </c>
      <c r="B369" s="6" t="inlineStr">
        <is>
          <t/>
        </is>
      </c>
      <c r="C369" s="6" t="inlineStr">
        <is>
          <t/>
        </is>
      </c>
      <c r="D369" s="6" t="inlineStr">
        <is>
          <t/>
        </is>
      </c>
      <c r="E369" s="6" t="inlineStr">
        <is>
          <t/>
        </is>
      </c>
      <c r="F369" s="6" t="inlineStr">
        <is>
          <t/>
        </is>
      </c>
      <c r="G369" s="6" t="inlineStr">
        <is>
          <t/>
        </is>
      </c>
    </row>
    <row r="370">
      <c r="A370" s="3" t="inlineStr">
        <is>
          <t>03GD122G</t>
        </is>
      </c>
      <c r="B370" s="2" t="inlineStr">
        <is>
          <t>Pedrini 03GD122G muffinforma, 12 muffin, dupla tapadásmentes bevonat, mosogatógépben mosható, 35 x 27 cm</t>
        </is>
      </c>
      <c r="C370" s="1" t="n">
        <v>6990.0</v>
      </c>
      <c r="D370" s="7" t="n">
        <f>HYPERLINK("https://www.somogyi.hu/product/pedrini-03gd122g-muffinforma-12-muffin-dupla-tapadasmentes-bevonat-mosogatogepben-moshato-35-x-27-cm-03gd122g-18083","https://www.somogyi.hu/product/pedrini-03gd122g-muffinforma-12-muffin-dupla-tapadasmentes-bevonat-mosogatogepben-moshato-35-x-27-cm-03gd122g-18083")</f>
        <v>0.0</v>
      </c>
      <c r="E370" s="7" t="n">
        <f>HYPERLINK("https://www.somogyi.hu/data/img/product_main_images/small/18083.jpg","https://www.somogyi.hu/data/img/product_main_images/small/18083.jpg")</f>
        <v>0.0</v>
      </c>
      <c r="F370" s="2" t="inlineStr">
        <is>
          <t>8006330010834</t>
        </is>
      </c>
      <c r="G370" s="4" t="inlineStr">
        <is>
          <t>Kíváncsi, hogyan készítheti el tökéletesen muffinjait anélkül, hogy azok a formához ragadnak? A Pedrini 03GD122G muffinforma a megoldás. 12 adagos kialakításával ez a forma tökéletes választás azok számára, akik egyszerre több süteményt szeretnének készíteni, legyen szó családi összejövetelről vagy baráti találkozóról.
A dupla tapadásmentes bevonat biztosítja, hogy minden egyes muffin könnyedén kivehető legyen a formából, így többé nem kell aggódnia a sütés utáni macerás tisztítás miatt. Ráadásul a Pedrini muffinforma mosogatógépben is mosható, ami még inkább megkönnyíti az Ön életét.
Méretével, 35 x 27 cm, tökéletesen illeszkedik a standard sütőkbe, és az olasz minőségű kivitelezés garantálja a hosszú távú használatot. Ne hagyja ki ezt a kiváló sütőeszközt, amely megkönnyíti a süteménykészítést és garantálja a sikerélményt minden egyes alkalommal. Válassza a Pedrini muffinformát, és emelje sütési élményeit a következő szintre!</t>
        </is>
      </c>
    </row>
    <row r="371">
      <c r="A371" s="3" t="inlineStr">
        <is>
          <t>03GD105G</t>
        </is>
      </c>
      <c r="B371" s="2" t="inlineStr">
        <is>
          <t>Kerek, csatos tortaforma</t>
        </is>
      </c>
      <c r="C371" s="1" t="n">
        <v>8690.0</v>
      </c>
      <c r="D371" s="7" t="n">
        <f>HYPERLINK("https://www.somogyi.hu/product/kerek-csatos-tortaforma-03gd105g-18081","https://www.somogyi.hu/product/kerek-csatos-tortaforma-03gd105g-18081")</f>
        <v>0.0</v>
      </c>
      <c r="E371" s="7" t="n">
        <f>HYPERLINK("https://www.somogyi.hu/data/img/product_main_images/small/18081.jpg","https://www.somogyi.hu/data/img/product_main_images/small/18081.jpg")</f>
        <v>0.0</v>
      </c>
      <c r="F371" s="2" t="inlineStr">
        <is>
          <t>8006330010155</t>
        </is>
      </c>
      <c r="G371" s="4" t="inlineStr">
        <is>
          <t>A Pedrini 24 cm átmérőjű kerek csatos tortaforma kuglóf betéttel dupla tapadásmentes, minőségi anyagból készült, mely tökéletes választás a különböző torták, és kuglófok elkészítéséhez. A csatos kivitel jóvoltából a sütemény könnyen kivehető a formából, míg a két betétes kialakításának köszönhetően többfajta sütemény is könnyedén elkészíthető vele. A tortaforma alsó része tálalásra is alkalmas. A  tortaforma mosogatógépben mosható, így a tisztítása sem jelenthet problémát. Az olasz minőség garantálja a termék tartósságát és megbízhatóságát.</t>
        </is>
      </c>
    </row>
    <row r="372">
      <c r="A372" s="3" t="inlineStr">
        <is>
          <t>03GD109G</t>
        </is>
      </c>
      <c r="B372" s="2" t="inlineStr">
        <is>
          <t>Pedrini 03GD109G szívforma, 25 x 25 cm, dupla tapadásmentes bevonat, mosogatógépben mosható, olasz minőség</t>
        </is>
      </c>
      <c r="C372" s="1" t="n">
        <v>5290.0</v>
      </c>
      <c r="D372" s="7" t="n">
        <f>HYPERLINK("https://www.somogyi.hu/product/pedrini-03gd109g-szivforma-25-x-25-cm-dupla-tapadasmentes-bevonat-mosogatogepben-moshato-olasz-minoseg-03gd109g-18082","https://www.somogyi.hu/product/pedrini-03gd109g-szivforma-25-x-25-cm-dupla-tapadasmentes-bevonat-mosogatogepben-moshato-olasz-minoseg-03gd109g-18082")</f>
        <v>0.0</v>
      </c>
      <c r="E372" s="7" t="n">
        <f>HYPERLINK("https://www.somogyi.hu/data/img/product_main_images/small/18082.jpg","https://www.somogyi.hu/data/img/product_main_images/small/18082.jpg")</f>
        <v>0.0</v>
      </c>
      <c r="F372" s="2" t="inlineStr">
        <is>
          <t>8006330010612</t>
        </is>
      </c>
      <c r="G372" s="4" t="inlineStr">
        <is>
          <t>A tökéletes szív alakú tortaformát keresi, hogy különleges alkalmakon meglephesse szeretteit? A Pedrini 03GD109G szívforma pontosan az, amire szüksége van. Az olasz minőségű, 25 x 25 cm méretű forma tökéletes választás Valentin-napra, évfordulókra vagy bármely romantikus vacsorára, ahol egy kis plusz figyelmességgel szeretné meglepni párját.
A dupla tapadásmentes bevonatnak köszönhetően a sütés egyszerű és gondtalan lesz, hiszen semmi sem ragad le, így a forma tisztítása is gyerekjáték. Továbbá a Pedrini szívforma mosogatógépben is mosható, így Ön több időt tölthet szeretteivel, és kevesebbet a konyhában.
Ne hagyja ki ezt a kivételes sütőformát, amely nemcsak praktikus, hanem elegáns megjelenésével is hozzájárul az asztal díszítéséhez. Válassza a Pedrini 03GD109G szívformát, és varázsolja el ételeit az olasz sütőipar finomságával!</t>
        </is>
      </c>
    </row>
    <row r="373">
      <c r="A373" s="3" t="inlineStr">
        <is>
          <t>10-103-154</t>
        </is>
      </c>
      <c r="B373" s="2" t="inlineStr">
        <is>
          <t>Nava 10-103-154 Nature tapadásmentes kalácssütő forma, kőbevonattal , 26 cm</t>
        </is>
      </c>
      <c r="C373" s="1" t="n">
        <v>2990.0</v>
      </c>
      <c r="D373" s="7" t="n">
        <f>HYPERLINK("https://www.somogyi.hu/product/nava-10-103-154-nature-tapadasmentes-kalacssuto-forma-kobevonattal-26-cm-10-103-154-18619","https://www.somogyi.hu/product/nava-10-103-154-nature-tapadasmentes-kalacssuto-forma-kobevonattal-26-cm-10-103-154-18619")</f>
        <v>0.0</v>
      </c>
      <c r="E373" s="7" t="n">
        <f>HYPERLINK("https://www.somogyi.hu/data/img/product_main_images/small/18619.jpg","https://www.somogyi.hu/data/img/product_main_images/small/18619.jpg")</f>
        <v>0.0</v>
      </c>
      <c r="F373" s="2" t="inlineStr">
        <is>
          <t>5205746153293</t>
        </is>
      </c>
      <c r="G373" s="4" t="inlineStr">
        <is>
          <t>Tökéletes kalácsformát keres, melyből könnyen kiemelheti az elkészült tésztát és hamar eltisztítható? Fedezze fel a Nava 10-103-154 Nature tapadásmentes kalácssütő formát, melynek kiváló minőségű kőbevonata garantálja a problémamentes sütést.
Ez a 26 cm átmérőjű, 9,5 cm magas, 3,5 liter űrtartalmú kalácsforma szénacélból készült, ami egyenletes hőeloszlást biztosít, így jobb sütési eredményeket érhet el. A tapadásmentes kőbevonat és az egyszerűen leválasztható oldalmechanizmus gondoskodik arról, hogy a kalács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kalácssütő forma nemcsak praktikus és könnyen használható, de hosszú távon megbízható segítséget nyújt a tökéletes torták sütéséhez. Kezdje el a sütést ma, és élvezze a gondtalan konyhai élményeket ezzel a kiváló minőségű kalácsformával!</t>
        </is>
      </c>
    </row>
    <row r="374">
      <c r="A374" s="3" t="inlineStr">
        <is>
          <t>10-103-159</t>
        </is>
      </c>
      <c r="B374" s="2" t="inlineStr">
        <is>
          <t>Nava 10-103-159 Nature tapadásmentes gyümölcstortaforma, kőbevonattal , 28 cm</t>
        </is>
      </c>
      <c r="C374" s="1" t="n">
        <v>1990.0</v>
      </c>
      <c r="D374" s="7" t="n">
        <f>HYPERLINK("https://www.somogyi.hu/product/nava-10-103-159-nature-tapadasmentes-gyumolcstortaforma-kobevonattal-28-cm-10-103-159-18620","https://www.somogyi.hu/product/nava-10-103-159-nature-tapadasmentes-gyumolcstortaforma-kobevonattal-28-cm-10-103-159-18620")</f>
        <v>0.0</v>
      </c>
      <c r="E374" s="7" t="n">
        <f>HYPERLINK("https://www.somogyi.hu/data/img/product_main_images/small/18620.jpg","https://www.somogyi.hu/data/img/product_main_images/small/18620.jpg")</f>
        <v>0.0</v>
      </c>
      <c r="F374" s="2" t="inlineStr">
        <is>
          <t>5205746152814</t>
        </is>
      </c>
      <c r="G374" s="4" t="inlineStr">
        <is>
          <t>Tökéletes gyümölcstortaformát keres, melyből könnyen kiemelheti az elkészült tésztát és hamar eltisztítható? Fedezze fel a Nava 10-103-159 Nature tapadásmentes gyümölcstortaformát, melynek kiváló minőségű kőbevonata garantálja a problémamentes sütést.
Ez a 28 cm átmérőjű, 3,5 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375">
      <c r="A375" s="3" t="inlineStr">
        <is>
          <t>10-239-002</t>
        </is>
      </c>
      <c r="B375" s="2" t="inlineStr">
        <is>
          <t>Nava 10-239-002 Nature tapadásmentes kenyérsütő forma, kőbevonattal , 28 cm</t>
        </is>
      </c>
      <c r="C375" s="1" t="n">
        <v>1990.0</v>
      </c>
      <c r="D375" s="7" t="n">
        <f>HYPERLINK("https://www.somogyi.hu/product/nava-10-239-002-nature-tapadasmentes-kenyersuto-forma-kobevonattal-28-cm-10-239-002-18621","https://www.somogyi.hu/product/nava-10-239-002-nature-tapadasmentes-kenyersuto-forma-kobevonattal-28-cm-10-239-002-18621")</f>
        <v>0.0</v>
      </c>
      <c r="E375" s="7" t="n">
        <f>HYPERLINK("https://www.somogyi.hu/data/img/product_main_images/small/18621.jpg","https://www.somogyi.hu/data/img/product_main_images/small/18621.jpg")</f>
        <v>0.0</v>
      </c>
      <c r="F375" s="2" t="inlineStr">
        <is>
          <t>5205746153323</t>
        </is>
      </c>
      <c r="G375" s="4" t="inlineStr">
        <is>
          <t>Tökéletes kenyérsütő formát keres, melyből könnyen kiemelheti az elkészült kenyeret és hamar eltisztítható? Fedezze fel a Nava 10-239-002 Nature tapadásmentes kenyérsütő formát, melynek kiváló minőségű kőbevonata garantálja a problémamentes sütést.
Ez a 30 cm hosszú, 11 cm széles és 3,5 cm magas, 2 liter űrtartalmú kenyérsütő forma szénacélból készült, ami egyenletes hőeloszlást biztosít, így jobb sütési eredményeket érhet el. A tapadásmentes kőbevonat és az egyszerűen leválasztható oldalmechanizmus gondoskodik arról, hogy az elkészült kenyér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kenyérsütő forma nemcsak praktikus és könnyen használható, de hosszú távon megbízható segítséget nyújt a tökéletes kenyerek sütéséhez. Kezdje el a sütést ma, és élvezze a gondtalan konyhai élményeket ezzel a kiváló minőségű kenyérsütő formával!</t>
        </is>
      </c>
    </row>
    <row r="376">
      <c r="A376" s="3" t="inlineStr">
        <is>
          <t>10-103-041</t>
        </is>
      </c>
      <c r="B376" s="2" t="inlineStr">
        <is>
          <t>Nava 10-103-041 Terrestrial tapadásmentes kerámia bevonatú sütőtál, 40x28 cm</t>
        </is>
      </c>
      <c r="C376" s="1" t="n">
        <v>4990.0</v>
      </c>
      <c r="D376" s="7" t="n">
        <f>HYPERLINK("https://www.somogyi.hu/product/nava-10-103-041-terrestrial-tapadasmentes-keramia-bevonatu-sutotal-40x28-cm-10-103-041-18633","https://www.somogyi.hu/product/nava-10-103-041-terrestrial-tapadasmentes-keramia-bevonatu-sutotal-40x28-cm-10-103-041-18633")</f>
        <v>0.0</v>
      </c>
      <c r="E376" s="7" t="n">
        <f>HYPERLINK("https://www.somogyi.hu/data/img/product_main_images/small/18633.jpg","https://www.somogyi.hu/data/img/product_main_images/small/18633.jpg")</f>
        <v>0.0</v>
      </c>
      <c r="F376" s="2" t="inlineStr">
        <is>
          <t>5205746888003</t>
        </is>
      </c>
      <c r="G376" s="4" t="inlineStr">
        <is>
          <t>Ön is szeretné elkápráztatni sütőtudományával családját, barátait? Fedezze fel a Nava 10-103-041 Terrestrial tapadásmentes kerámia bevonatú sütőtálját, mely a tökéletes segítőtárs lesz a konyhában!
Ez a kiváló minőségű sütőtál (melynek hossza 40 cm, szélessége 28 cm, magassága 7 cm) szénacélból készült, ami egyenletes hőeloszlást biztosít, így garantálva a tökéletes sütési eredményeket. A tapadásmentes kerámia bevonat könnyűvé teszi az ételek eltávolítását a tálból, és egyszerűvé a tisztítást használat után.
Néhány tipp, hogy sokáig használhassa a terméket:
* Az első használat előtt alaposan mossa el a sütőtálat meleg, szappanos vízzel és puha szivaccsal
* Minden használat előtt kenje be a tál belső felületét olajjal vagy vajjal.
* Ne hevítse túl a sütőtálat, ha az üres.
* Alacsony vagy közepes hőfok elegendő a legjobb sütési eredmények eléréséhez. A maximális hőmérséklet ne haladja meg a 230°C-t.
* Ne töltse a tálat annál többel, mint annak 2/3-a, hogy elkerülje a túlcsordulást.
* Hagyja a sütőtálat hűlni, majd mosogassa el meleg, szappanos vízzel és puha szivaccsal.
* Csak fa, műanyag vagy szilikon konyhai eszközöket használjon a tapadásmentes bevonat élettartamának meghosszabbítása érdekében.
* Soha ne vágjon ételeket a sütőtálban éles eszközökkel.
* Savas összetevők használata (pl. paradicsomlé, citruslé) nem ajánlott.
* A sütőpapír használata meghosszabbítja a sütőtál és a tapadásmentes bevonat élettartamát.
* Kézi mosás preferálása biztosítja a sütőtál hosszabb élettartamát.
* Kerülje a fém szivacsok, drótok vagy erős tisztítószerek használatát.
A tapadásmentes bevonat megfelel az élelmiszerekkel érintkezésbe kerülő anyagokra vonatkozó előírásoknak.
Méreteivel ez a sütőtál tökéletes választás akár 8 személy részére is. Legyen szó húsokról, zöldségekről vagy édességekről, a Nava Terrestrial sütőtál minden igényt kielégít. Ne hagyja ki a lehetőséget, hogy ezzel a sütőtállal fokozza konyhai élményeit!</t>
        </is>
      </c>
    </row>
    <row r="377">
      <c r="A377" s="3" t="inlineStr">
        <is>
          <t>10-103-021</t>
        </is>
      </c>
      <c r="B377" s="2" t="inlineStr">
        <is>
          <t>Nava 10-103-021 Nature tapadásmentes csatos tortaforma, kőbevonattal , 28 cm</t>
        </is>
      </c>
      <c r="C377" s="1" t="n">
        <v>2990.0</v>
      </c>
      <c r="D377" s="7" t="n">
        <f>HYPERLINK("https://www.somogyi.hu/product/nava-10-103-021-nature-tapadasmentes-csatos-tortaforma-kobevonattal-28-cm-10-103-021-18618","https://www.somogyi.hu/product/nava-10-103-021-nature-tapadasmentes-csatos-tortaforma-kobevonattal-28-cm-10-103-021-18618")</f>
        <v>0.0</v>
      </c>
      <c r="E377" s="7" t="n">
        <f>HYPERLINK("https://www.somogyi.hu/data/img/product_main_images/small/18618.jpg","https://www.somogyi.hu/data/img/product_main_images/small/18618.jpg")</f>
        <v>0.0</v>
      </c>
      <c r="F377" s="2" t="inlineStr">
        <is>
          <t>5205746884593</t>
        </is>
      </c>
      <c r="G377" s="4" t="inlineStr">
        <is>
          <t>Tökéletes tortaformát keres, melyből könnyen kiemelheti az elkészült tésztát és hamar eltisztítható? Fedezze fel a Nava 10-103-021 Nature tapadásmentes csatos tortaformát, melynek kiváló minőségű kőbevonata garantálja a problémamentes sütést.
Ez a 28 cm átmérőjű, 7 cm magas, 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78">
      <c r="A378" s="3" t="inlineStr">
        <is>
          <t>10-103-020</t>
        </is>
      </c>
      <c r="B378" s="2" t="inlineStr">
        <is>
          <t>Nava 10-103-020 Nature tapadásmentes csatos tortaforma, kőbevonattal , 22 cm</t>
        </is>
      </c>
      <c r="C378" s="1" t="n">
        <v>2490.0</v>
      </c>
      <c r="D378" s="7" t="n">
        <f>HYPERLINK("https://www.somogyi.hu/product/nava-10-103-020-nature-tapadasmentes-csatos-tortaforma-kobevonattal-22-cm-10-103-020-18617","https://www.somogyi.hu/product/nava-10-103-020-nature-tapadasmentes-csatos-tortaforma-kobevonattal-22-cm-10-103-020-18617")</f>
        <v>0.0</v>
      </c>
      <c r="E378" s="7" t="n">
        <f>HYPERLINK("https://www.somogyi.hu/data/img/product_main_images/small/18617.jpg","https://www.somogyi.hu/data/img/product_main_images/small/18617.jpg")</f>
        <v>0.0</v>
      </c>
      <c r="F378" s="2" t="inlineStr">
        <is>
          <t>5205746000108</t>
        </is>
      </c>
      <c r="G378" s="4" t="inlineStr">
        <is>
          <t>Tökéletes tortaformát keres, melyből könnyen kiemelheti az elkészült tésztát és hamar eltisztítható? Fedezze fel a Nava 10-103-020 Nature tapadásmentes csatos tortaformát, melynek kiváló minőségű kőbevonata garantálja a problémamentes sütést.
Ez a 22cm átmérőjű, 6,7cm magas, 2,23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79">
      <c r="A379" s="3" t="inlineStr">
        <is>
          <t>10-103-157</t>
        </is>
      </c>
      <c r="B379" s="2" t="inlineStr">
        <is>
          <t>NAVA 10-103-157 Imperial kuglóf sütőforma, 27 cm, max. 3 l, 0,5 mm  vastagság, 10 cm magasság, szénacél, tapadásmentes bevonat</t>
        </is>
      </c>
      <c r="C379" s="1" t="n">
        <v>4590.0</v>
      </c>
      <c r="D379" s="7" t="n">
        <f>HYPERLINK("https://www.somogyi.hu/product/nava-10-103-157-imperial-kuglof-sutoforma-27-cm-max-3-l-0-5-mm-vastagsag-10-cm-magassag-szenacel-tapadasmentes-bevonat-10-103-157-18367","https://www.somogyi.hu/product/nava-10-103-157-imperial-kuglof-sutoforma-27-cm-max-3-l-0-5-mm-vastagsag-10-cm-magassag-szenacel-tapadasmentes-bevonat-10-103-157-18367")</f>
        <v>0.0</v>
      </c>
      <c r="E379" s="7" t="n">
        <f>HYPERLINK("https://www.somogyi.hu/data/img/product_main_images/small/18367.jpg","https://www.somogyi.hu/data/img/product_main_images/small/18367.jpg")</f>
        <v>0.0</v>
      </c>
      <c r="F379" s="2" t="inlineStr">
        <is>
          <t>5205746153118</t>
        </is>
      </c>
      <c r="G379" s="4" t="inlineStr">
        <is>
          <t>Egy megbízható kuglóf sütőformát keres, amely garantálja a tökéletes eredményt minden alkalommal? A NAVA 10-103-157 Imperial kuglóf sütőforma pontosan ezt kínálja Önnek.
Innovatív tapadásmentes bevonatával ez a forma biztosítja, hogy süteményei egyszerűen és sértetlenül kivehetők legyenek, így többé nem kell aggódnia a ragadós balesetek miatt.
Az 27 cm átmérőjű és 10 cm magasságú forma tökéletes méret a családi összejövetelek és különleges alkalmak számára készült süteményekhez. A max 3 literes kapacitás bőséges méretű kuglófok elkészítését teszi lehetővé, míg a 0,5 mm vastagságú szénacél anyag hosszú távon is tartós használatot ígér.
A NAVA Imperial kuglóf sütőforma nem csak praktikus, de könnyen tisztítható is, ami időt spórol meg a konyhában. Tegye sütési élményeit zökkenőmentessé ezzel a kiváló minőségű, mosogatógépben is mosható sütőformával. Indítsa el süteménykészítési projektjeit ma ezzel a kényelmes és könnyen használható kiegészítővel, és élvezze a hibátlan eredményeket minden egyes alkalommal!</t>
        </is>
      </c>
    </row>
    <row r="380">
      <c r="A380" s="3" t="inlineStr">
        <is>
          <t>10-239-006</t>
        </is>
      </c>
      <c r="B380" s="2" t="inlineStr">
        <is>
          <t>NAVA 10-239-006 kenyérsütő forma, 11 x 30 cm, max. 2 l, 0,4 mm vastagság, 7,5 cm magasság, szénacél, tapadásmentes bevonat</t>
        </is>
      </c>
      <c r="C380" s="1" t="n">
        <v>2690.0</v>
      </c>
      <c r="D380" s="7" t="n">
        <f>HYPERLINK("https://www.somogyi.hu/product/nava-10-239-006-kenyersuto-forma-11-x-30-cm-max-2-l-0-4-mm-vastagsag-7-5-cm-magassag-szenacel-tapadasmentes-bevonat-10-239-006-18369","https://www.somogyi.hu/product/nava-10-239-006-kenyersuto-forma-11-x-30-cm-max-2-l-0-4-mm-vastagsag-7-5-cm-magassag-szenacel-tapadasmentes-bevonat-10-239-006-18369")</f>
        <v>0.0</v>
      </c>
      <c r="E380" s="7" t="n">
        <f>HYPERLINK("https://www.somogyi.hu/data/img/product_main_images/small/18369.jpg","https://www.somogyi.hu/data/img/product_main_images/small/18369.jpg")</f>
        <v>0.0</v>
      </c>
      <c r="F380" s="2" t="inlineStr">
        <is>
          <t>5205746153743</t>
        </is>
      </c>
      <c r="G380" s="4" t="inlineStr">
        <is>
          <t>Gondolkodott már azon, hogy saját kezűleg készítse el kenyereit? A NAVA 10-239-006 kenyérsütő forma segítségével otthonába varázsolhatja friss kenyér ízét és illatát. Ez a tapadásmentes bevonattal ellátott forma, melynek méretei 11 x 30 cm, tökéletes választás minden háztartásba. A forma 2 literes kapacitásával ideális méretű kenyeret készíthet. A forma vastagsága 0,4 mm, magassága pedig 7,5 cm.
Az anyaga szénacél, ami garantálja a tartósságot és hosszú távú használatot. A tapadásmentes bevonatnak köszönhetően a kenyér könnyedén kiemelhető a formából, nem ragad le, így a tisztítása is egyszerű. Legyen szó friss, ropogós héjú kenyérről vagy akár különleges ízesítésű változatról, ez a forma minden igényt kielégít.
Tegye a sütés élményét még különlegesebbé a NAVA 10-239-006 kenyérsütő formával, és élvezze a házi készítésű kenyér ízét és illatát minden nap!</t>
        </is>
      </c>
    </row>
    <row r="381">
      <c r="A381" s="3" t="inlineStr">
        <is>
          <t>10-103-158</t>
        </is>
      </c>
      <c r="B381" s="2" t="inlineStr">
        <is>
          <t>NAVA 10-103-158 Imperial tapadásmentes gyümölcstortaforma, kőbevonattal, 28cm átmérő</t>
        </is>
      </c>
      <c r="C381" s="1" t="n">
        <v>2390.0</v>
      </c>
      <c r="D381" s="7" t="n">
        <f>HYPERLINK("https://www.somogyi.hu/product/nava-10-103-158-imperial-tapadasmentes-gyumolcstortaforma-kobevonattal-28cm-atmero-10-103-158-18368","https://www.somogyi.hu/product/nava-10-103-158-imperial-tapadasmentes-gyumolcstortaforma-kobevonattal-28cm-atmero-10-103-158-18368")</f>
        <v>0.0</v>
      </c>
      <c r="E381" s="7" t="n">
        <f>HYPERLINK("https://www.somogyi.hu/data/img/product_main_images/small/18368.jpg","https://www.somogyi.hu/data/img/product_main_images/small/18368.jpg")</f>
        <v>0.0</v>
      </c>
      <c r="F381" s="2" t="inlineStr">
        <is>
          <t>5205746152494</t>
        </is>
      </c>
      <c r="G381" s="4" t="inlineStr">
        <is>
          <t>Tökéletes gyümölcstortaformát keres, melyből könnyen kiemelheti az elkészült tésztát és hamar eltisztítható? Fedezze fel a NAVA 10-103-158 Imperial tapadásmentes gyümölcstortaformát, melynek kiváló minőségű kőbevonata garantálja a problémamentes sütést.
Ez a 28cm átmérőjű, 3,5cm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Imperial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382">
      <c r="A382" s="3" t="inlineStr">
        <is>
          <t>0152-420</t>
        </is>
      </c>
      <c r="B382" s="2" t="inlineStr">
        <is>
          <t>Pedrini 0152-420 díszítő tubus, öt fej tartozék, műanyag, olasz minőség</t>
        </is>
      </c>
      <c r="C382" s="1" t="n">
        <v>2490.0</v>
      </c>
      <c r="D382" s="7" t="n">
        <f>HYPERLINK("https://www.somogyi.hu/product/pedrini-0152-420-diszito-tubus-ot-fej-tartozek-muanyag-olasz-minoseg-0152-420-18079","https://www.somogyi.hu/product/pedrini-0152-420-diszito-tubus-ot-fej-tartozek-muanyag-olasz-minoseg-0152-420-18079")</f>
        <v>0.0</v>
      </c>
      <c r="E382" s="7" t="n">
        <f>HYPERLINK("https://www.somogyi.hu/data/img/product_main_images/small/18079.jpg","https://www.somogyi.hu/data/img/product_main_images/small/18079.jpg")</f>
        <v>0.0</v>
      </c>
      <c r="F382" s="2" t="inlineStr">
        <is>
          <t>8006330564047</t>
        </is>
      </c>
      <c r="G382" s="4" t="inlineStr">
        <is>
          <t>A Pedrini díszítő tubus tartós, könnyen tisztán tartható műanyagból készült. A kihúzható dugattyú eltávolításával a kb. 1,5 dl űrtartalmú tubust különböző cukrászati krémekkel tölthetjük fel. Az öt darab különböző fejnek köszönhetően változatos díszítési eljárások alkalmazása lehetséges, így tökéletes süteményeket és tortákat készíthetünk. A termék szétszerelve könnyen tisztítható.</t>
        </is>
      </c>
    </row>
    <row r="383">
      <c r="A383" s="3" t="inlineStr">
        <is>
          <t>10-239-003</t>
        </is>
      </c>
      <c r="B383" s="2" t="inlineStr">
        <is>
          <t>NAVA 10-239-003 Imperial sütőtálca, 29 x 43,5 cm, 0,4 mm vastagság, 1,5 cm magasság, szénacél, tapadásmentes bevonat</t>
        </is>
      </c>
      <c r="C383" s="1" t="n">
        <v>2690.0</v>
      </c>
      <c r="D383" s="7" t="n">
        <f>HYPERLINK("https://www.somogyi.hu/product/nava-10-239-003-imperial-sutotalca-29-x-43-5-cm-0-4-mm-vastagsag-1-5-cm-magassag-szenacel-tapadasmentes-bevonat-10-239-003-18363","https://www.somogyi.hu/product/nava-10-239-003-imperial-sutotalca-29-x-43-5-cm-0-4-mm-vastagsag-1-5-cm-magassag-szenacel-tapadasmentes-bevonat-10-239-003-18363")</f>
        <v>0.0</v>
      </c>
      <c r="E383" s="7" t="n">
        <f>HYPERLINK("https://www.somogyi.hu/data/img/product_main_images/small/18363.jpg","https://www.somogyi.hu/data/img/product_main_images/small/18363.jpg")</f>
        <v>0.0</v>
      </c>
      <c r="F383" s="2" t="inlineStr">
        <is>
          <t>5205746153477</t>
        </is>
      </c>
      <c r="G383" s="4" t="inlineStr">
        <is>
          <t>"Megfelelő társat keres sütés-főzéshez? A NAVA Imperial sütőtálca az a tökéletes segítőtárs a konyhában, amelyre mindig számíthat.
A 29 x 43,5 cm méretű, tapadásmentes bevonattal ellátott tálca ideális mindenféle sütési feladathoz, legyen szó pizzáról, húsokról vagy süteményekről. A 0,4 mm vastagságú, szénacél anyagból készült tálca kiváló hőeloszlást biztosít, így az ételek egyenletesen sülnek meg, míg az 1,5 cm magasságú perem megakadályozza a nem kívánt lecsúszást.
A tapadásmentes bevonatnak köszönhetően az ételek könnyedén leválaszthatóak a tálcáról, így nem kell többé aggódnia amiatt, hogy a sütés után darabokban lesz az eredménye. Tisztítása is egyszerű, így több idő marad a fontos dolgokra.
Fedezze fel, hogy a NAVA Imperial sütőtálca milyen könnyedén válik az Ön konyhájának elengedhetetlen kellékévé. Tegye próbára ezt a remek konyhai eszközt, és élvezze a gondtalan sütést minden alkalommal!"</t>
        </is>
      </c>
    </row>
    <row r="384">
      <c r="A384" s="3" t="inlineStr">
        <is>
          <t>10-239-030</t>
        </is>
      </c>
      <c r="B384" s="2" t="inlineStr">
        <is>
          <t>NAVA 10-239-030 Imperial kerek sütőforma, csatos, 28 cm, 3 l, 0,4 mm vastagság, 7 cm magasság, szénacél, tapadásmentes bevonat</t>
        </is>
      </c>
      <c r="C384" s="1" t="n">
        <v>4390.0</v>
      </c>
      <c r="D384" s="7" t="n">
        <f>HYPERLINK("https://www.somogyi.hu/product/nava-10-239-030-imperial-kerek-sutoforma-csatos-28-cm-3-l-0-4-mm-vastagsag-7-cm-magassag-szenacel-tapadasmentes-bevonat-10-239-030-18366","https://www.somogyi.hu/product/nava-10-239-030-imperial-kerek-sutoforma-csatos-28-cm-3-l-0-4-mm-vastagsag-7-cm-magassag-szenacel-tapadasmentes-bevonat-10-239-030-18366")</f>
        <v>0.0</v>
      </c>
      <c r="E384" s="7" t="n">
        <f>HYPERLINK("https://www.somogyi.hu/data/img/product_main_images/small/18366.jpg","https://www.somogyi.hu/data/img/product_main_images/small/18366.jpg")</f>
        <v>0.0</v>
      </c>
      <c r="F384" s="2" t="inlineStr">
        <is>
          <t>5205746153637</t>
        </is>
      </c>
      <c r="G384" s="4" t="inlineStr">
        <is>
          <t>Van már olyan sütőformája, amely minden alkalomra tökéletes? A NAVA 10-239-030 Imperial kerek sütőforma az Ön új megbízható segítőtársa lesz a konyhában, legyen szó süteményről, tortáról vagy finom pitéről. Ennek a csatos formának a tapadásmentes bevonata garantálja, hogy minden süteménye tökéletesen süljön meg, és könnyedén kivehető legyen a formából.
Az 28 cm-es átmérője és 3 literes kapacitása elegendő teret biztosít a nagyobb méretű sütemények elkészítéséhez is, míg a 0,4 mm-es vastagság és 7 cm-es magasság biztosítja az egyenletes hőeloszlást és sütést. A szénacél anyag nem csak tartósságot, hanem hosszú élettartamot is ígér, így ez a forma hosszú távon része lehet sütési rutinjának.
Ne hagyja ki a lehetőséget, hogy a NAVA Imperial kerek sütőformával felemelje sütési élményeit a következő szintre. Fedezze fel a tapadásmentes bevonat nyújtotta kényelmet és élvezze a sütés minden pillanatát. Kezdje el ma, és süsse meg álmai süteményét ezzel a csatos formával!</t>
        </is>
      </c>
    </row>
    <row r="385">
      <c r="A385" s="3" t="inlineStr">
        <is>
          <t>0147-320</t>
        </is>
      </c>
      <c r="B385" s="2" t="inlineStr">
        <is>
          <t>Pedrini 0147-320 sajt- és dióreszelő, rozsdamentes acél dob, mosogatógépben is mosható, olasz minőség</t>
        </is>
      </c>
      <c r="C385" s="1" t="n">
        <v>5590.0</v>
      </c>
      <c r="D385" s="7" t="n">
        <f>HYPERLINK("https://www.somogyi.hu/product/pedrini-0147-320-sajt-es-dioreszelo-rozsdamentes-acel-dob-mosogatogepben-is-moshato-olasz-minoseg-0147-320-18086","https://www.somogyi.hu/product/pedrini-0147-320-sajt-es-dioreszelo-rozsdamentes-acel-dob-mosogatogepben-is-moshato-olasz-minoseg-0147-320-18086")</f>
        <v>0.0</v>
      </c>
      <c r="E385" s="7" t="n">
        <f>HYPERLINK("https://www.somogyi.hu/data/img/product_main_images/small/18086.jpg","https://www.somogyi.hu/data/img/product_main_images/small/18086.jpg")</f>
        <v>0.0</v>
      </c>
      <c r="F385" s="2" t="inlineStr">
        <is>
          <t>8006330001474</t>
        </is>
      </c>
      <c r="G385" s="4" t="inlineStr">
        <is>
          <t>A sajtreszelőnk hasznos konyhai segédeszköz, amely két részből áll: az erős, kopásálló műanyag külső borításból és a rozsdamentes anyagból készült belső reszelő részből. A könnyen kezelhető sajtreszelő megkönnyíti a sajtok és olajos magvak reszelését vagy darálását. Használat után könnyen tisztítható, és a kompakt méretű kialakítása miatt, könnyen tárolható a konyhaszekrényben.
Rendelje meg most minőségi, olasz minőségi sajtreszelőjét!</t>
        </is>
      </c>
    </row>
    <row r="386">
      <c r="A386" s="3" t="inlineStr">
        <is>
          <t>03GD259</t>
        </is>
      </c>
      <c r="B386" s="2" t="inlineStr">
        <is>
          <t>Pedrini 03GD259 műanyag habkártya, három darabos kiszerelés, rugalmas, mosogatógépben is mosható, olasz minőség</t>
        </is>
      </c>
      <c r="C386" s="1" t="n">
        <v>1890.0</v>
      </c>
      <c r="D386" s="7" t="n">
        <f>HYPERLINK("https://www.somogyi.hu/product/pedrini-03gd259-muanyag-habkartya-harom-darabos-kiszereles-rugalmas-mosogatogepben-is-moshato-olasz-minoseg-03gd259-18085","https://www.somogyi.hu/product/pedrini-03gd259-muanyag-habkartya-harom-darabos-kiszereles-rugalmas-mosogatogepben-is-moshato-olasz-minoseg-03gd259-18085")</f>
        <v>0.0</v>
      </c>
      <c r="E386" s="7" t="n">
        <f>HYPERLINK("https://www.somogyi.hu/data/img/product_main_images/small/18085.jpg","https://www.somogyi.hu/data/img/product_main_images/small/18085.jpg")</f>
        <v>0.0</v>
      </c>
      <c r="F386" s="2" t="inlineStr">
        <is>
          <t>0883336401990</t>
        </is>
      </c>
      <c r="G386" s="4" t="inlineStr">
        <is>
          <t>A Pedrini habkártya három darabos kiszerelésű, alapvető eszköze a torta- és süteménykészítésnek. Kiváló minőségű, BPA-mentes és rugalmas műanyagból készült. Ideális fondant simításához, krémek elkenéséhez és díszítéshez. Praktikus rögzítő gyűrűvel ellátott, hogy mindig kézben maradjon. Egyszerűen, mosogatógépben is tisztítható.</t>
        </is>
      </c>
    </row>
    <row r="387">
      <c r="A387" s="3" t="inlineStr">
        <is>
          <t>0267-820</t>
        </is>
      </c>
      <c r="B387" s="2" t="inlineStr">
        <is>
          <t>Pedrini 0267-820 konzervnyitó, edzett acél vágófej, olasz minőség</t>
        </is>
      </c>
      <c r="C387" s="1" t="n">
        <v>2990.0</v>
      </c>
      <c r="D387" s="7" t="n">
        <f>HYPERLINK("https://www.somogyi.hu/product/pedrini-0267-820-konzervnyito-edzett-acel-vagofej-olasz-minoseg-0267-820-18080","https://www.somogyi.hu/product/pedrini-0267-820-konzervnyito-edzett-acel-vagofej-olasz-minoseg-0267-820-18080")</f>
        <v>0.0</v>
      </c>
      <c r="E387" s="7" t="n">
        <f>HYPERLINK("https://www.somogyi.hu/data/img/product_main_images/small/18080.jpg","https://www.somogyi.hu/data/img/product_main_images/small/18080.jpg")</f>
        <v>0.0</v>
      </c>
      <c r="F387" s="2" t="inlineStr">
        <is>
          <t>8006330233080</t>
        </is>
      </c>
      <c r="G387" s="4" t="inlineStr">
        <is>
          <t>A legjobb választás a konzervbontók közül, ha minőségi, olasz terméket keres! A remek műanyag nyél és az edzett, rozsdamentes acélból készült fém vágóél együttesen biztosítja a kényelmes és hatékony használatot. A konzervnyitó vágóél élettartama hosszú, a termék mosogatógépben is könnyen tisztítható.</t>
        </is>
      </c>
    </row>
    <row r="388">
      <c r="A388" s="6" t="inlineStr">
        <is>
          <t xml:space="preserve">   Háztartási gép, eszköz / Kés, kés készlet</t>
        </is>
      </c>
      <c r="B388" s="6" t="inlineStr">
        <is>
          <t/>
        </is>
      </c>
      <c r="C388" s="6" t="inlineStr">
        <is>
          <t/>
        </is>
      </c>
      <c r="D388" s="6" t="inlineStr">
        <is>
          <t/>
        </is>
      </c>
      <c r="E388" s="6" t="inlineStr">
        <is>
          <t/>
        </is>
      </c>
      <c r="F388" s="6" t="inlineStr">
        <is>
          <t/>
        </is>
      </c>
      <c r="G388" s="6" t="inlineStr">
        <is>
          <t/>
        </is>
      </c>
    </row>
    <row r="389">
      <c r="A389" s="3" t="inlineStr">
        <is>
          <t>10-167-021</t>
        </is>
      </c>
      <c r="B389" s="2" t="inlineStr">
        <is>
          <t>Nava 10-167-021 7db-os rozsdamentes acél késkészlet akril állvánnyal, forgatható</t>
        </is>
      </c>
      <c r="C389" s="1" t="n">
        <v>18990.0</v>
      </c>
      <c r="D389" s="7" t="n">
        <f>HYPERLINK("https://www.somogyi.hu/product/nava-10-167-021-7db-os-rozsdamentes-acel-keskeszlet-akril-allvannyal-forgathato-10-167-021-18667","https://www.somogyi.hu/product/nava-10-167-021-7db-os-rozsdamentes-acel-keskeszlet-akril-allvannyal-forgathato-10-167-021-18667")</f>
        <v>0.0</v>
      </c>
      <c r="E389" s="7" t="n">
        <f>HYPERLINK("https://www.somogyi.hu/data/img/product_main_images/small/18667.jpg","https://www.somogyi.hu/data/img/product_main_images/small/18667.jpg")</f>
        <v>0.0</v>
      </c>
      <c r="F389" s="2" t="inlineStr">
        <is>
          <t>5205746905106</t>
        </is>
      </c>
      <c r="G389" s="4" t="inlineStr">
        <is>
          <t>Az ideális társat keresi a konyhában, amely minden vágási feladatra megoldást kínál? A Nava 10-167-021 7db-os rozsdamentes acél késkészlet akril állvánnyal minden szükséges kést tartalmaz, hogy a konyhai előkészületek könnyedén és gyorsan elvégezhetők legyenek. 
A 18/8-as rozsdamentes acélból készült pengék rendkívül tartósak, és hosszú távon élesek maradnak. Az ergonomikus markolatok precíz és gyors vágást tesznek lehetővé, míg a fekete, tapadásmentes bevonat kényelmes fogást biztosít. A készlet egy forgatható akril állványt is tartalmaz, amely egyszerű és biztonságos tárolást kínál a kések számára.
A szett gyönyörű csomagolása tökéletes és praktikus ajándékká teszi azt bárki számára. A készlet tartalma:
* Húsvágó kés, 30,5 cm, nagy húsok darabolásához (penge: 17 cm - nyél: 13,5 cm)
* Séfkés, 33,5 cm, húsok, halak, zöldségek aprításához (penge: 20 cm - nyél: 13,5 cm)
* Kenyérvágó kés, 33,5 cm (penge: 20 cm - nyél: 13,5 cm)
* Háztartási kés, 22,5 cm, általános célra (penge: 11,5 cm - nyél: 11 cm)
* Hámozókés, 20 cm (penge: 9 cm - nyél: 11 cm)
* Késélező, 30  cm, (élezőrúd: 19 cm - nyél: 11 cm)
* Konyhai olló, 18,5 cm, szárnyasok, halak és fűszernövények vágására
* Akril állvány, 360°-ban forgatható
Mielőtt először használná a terméket, mossa meg langyos, szappanos vízzel és puha szivaccsal. Minden használat után alaposan mossa és szárítsa meg egy száraz ruhával. Kerülje a fémszivacsok és erős tisztítószerek használatát. Rozsdamentes acél termékekhez ajánlott tisztítószerek használata javasolt a termék hosszabb élettartama érdekében.
A Nava 10-167-021 késkészlet nem csak a konyhai munkák elengedhetetlen segítőtársa, de elegáns kiegészítője is lehet otthonának.</t>
        </is>
      </c>
    </row>
    <row r="390">
      <c r="A390" s="6" t="inlineStr">
        <is>
          <t xml:space="preserve">   Háztartási gép, eszköz / Hőmérők</t>
        </is>
      </c>
      <c r="B390" s="6" t="inlineStr">
        <is>
          <t/>
        </is>
      </c>
      <c r="C390" s="6" t="inlineStr">
        <is>
          <t/>
        </is>
      </c>
      <c r="D390" s="6" t="inlineStr">
        <is>
          <t/>
        </is>
      </c>
      <c r="E390" s="6" t="inlineStr">
        <is>
          <t/>
        </is>
      </c>
      <c r="F390" s="6" t="inlineStr">
        <is>
          <t/>
        </is>
      </c>
      <c r="G390" s="6" t="inlineStr">
        <is>
          <t/>
        </is>
      </c>
    </row>
    <row r="391">
      <c r="A391" s="3" t="inlineStr">
        <is>
          <t>10-274-040</t>
        </is>
      </c>
      <c r="B391" s="2" t="inlineStr">
        <is>
          <t>NAVA 10-274-040 Acer digitális maghőmérő, 22 cm, LCD kijelző, rozsdamentes acél, -30 °C - 250 °C, 1 x 1.5V LR44</t>
        </is>
      </c>
      <c r="C391" s="1" t="n">
        <v>4590.0</v>
      </c>
      <c r="D391" s="7" t="n">
        <f>HYPERLINK("https://www.somogyi.hu/product/nava-10-274-040-acer-digitalis-maghomero-22-cm-lcd-kijelzo-rozsdamentes-acel-30-c-250-c-1-x-1-5v-lr44-10-274-040-15824","https://www.somogyi.hu/product/nava-10-274-040-acer-digitalis-maghomero-22-cm-lcd-kijelzo-rozsdamentes-acel-30-c-250-c-1-x-1-5v-lr44-10-274-040-15824")</f>
        <v>0.0</v>
      </c>
      <c r="E391" s="7" t="n">
        <f>HYPERLINK("https://www.somogyi.hu/data/img/product_main_images/small/15824.jpg","https://www.somogyi.hu/data/img/product_main_images/small/15824.jpg")</f>
        <v>0.0</v>
      </c>
      <c r="F391" s="2" t="inlineStr">
        <is>
          <t>5205746175370</t>
        </is>
      </c>
      <c r="G391" s="4" t="inlineStr">
        <is>
          <t>Ön is szeretné pontosan tudni, hogy ételei elkészültek, vagy megfelelő hőmérsékleten sülnek-e? A NAVA 10-274-040 Acer digitális maghőmérővel mindezt tökéletesen ellenőrizheti!
Ez a digitális maghőmérő rendelkezik egy könnyen olvasható LCD kijelzővel, mely megmutatja az aktuális hőmérsékletet és a sütési időt is. A hőmérséklet mérési tartománya -30°C és +250°C (-22°F és +482°F) között van, így szinte minden főzési szituációban használható. A készülék rozsdamentes acél szondája 22 cm hosszú, ami biztonságos használatot garantál sütés közben.
A bekapcsoló/kikapcsoló gomb mellett hőmérséklet üzemmód váltó gomb is található a fogantyú tetején, mely Celsius és Fahrenheit közötti váltást tesz lehetővé. A hozzáadott akasztónyílás a fogantyún a könnyű tárolást szolgálja, míg a szonda védőburkolata biztosítja a szonda épségét, amikor éppen nem használja.
Válassza a NAVA 10-274-040 Acer digitális maghőmérőt a pontos és megbízható hőmérséklet-méréshez, legyen szó grillezésről, otthoni főzésről vagy akár bébiételek elkészítéséről!</t>
        </is>
      </c>
    </row>
    <row r="392">
      <c r="A392" s="3" t="inlineStr">
        <is>
          <t>HG TM 01</t>
        </is>
      </c>
      <c r="B392" s="2" t="inlineStr">
        <is>
          <t xml:space="preserve">Home HG TM 01 digitális maghőmérő, méréshatár -50°C - +300°C, 15 cm-es mérőszonda, </t>
        </is>
      </c>
      <c r="C392" s="1" t="n">
        <v>2390.0</v>
      </c>
      <c r="D392" s="7" t="n">
        <f>HYPERLINK("https://www.somogyi.hu/product/home-hg-tm-01-digitalis-maghomero-mereshatar-50-c-300-c-15-cm-es-meroszonda-hg-tm-01-17771","https://www.somogyi.hu/product/home-hg-tm-01-digitalis-maghomero-mereshatar-50-c-300-c-15-cm-es-meroszonda-hg-tm-01-17771")</f>
        <v>0.0</v>
      </c>
      <c r="E392" s="7" t="n">
        <f>HYPERLINK("https://www.somogyi.hu/data/img/product_main_images/small/17771.jpg","https://www.somogyi.hu/data/img/product_main_images/small/17771.jpg")</f>
        <v>0.0</v>
      </c>
      <c r="F392" s="2" t="inlineStr">
        <is>
          <t>5999084957933</t>
        </is>
      </c>
      <c r="G392" s="4" t="inlineStr">
        <is>
          <t>A HG TM 01 Digitális maghőmérő -50 °C és 300 °C között mér. A maghőmérő segítségével megmérheti az ételek pontos hőmérsékletét, így a húsok szaftosak és puhák maradnak, elkerülve a túlsütést. Nem csak a húsok készítése során használható, de sütemények, mártások, karamell, vagy más élelmiszerek előállításában is fontos szerepet kap, ahol fontos a pontos hőmérsékletet lekövetni. 
A mérőszonda hossza 15 cm.
Működéséhez 1x1,5 V (LR44) gombelem szükséges, melyet a csomag tartalmaz. 
A főzés és gasztronómia szerelmeseinek elengedhetetlen eszköz lesz a konyhában.</t>
        </is>
      </c>
    </row>
    <row r="393">
      <c r="A393" s="6" t="inlineStr">
        <is>
          <t xml:space="preserve">   Háztartási gép, eszköz / Szódakészítő gép, tartozék</t>
        </is>
      </c>
      <c r="B393" s="6" t="inlineStr">
        <is>
          <t/>
        </is>
      </c>
      <c r="C393" s="6" t="inlineStr">
        <is>
          <t/>
        </is>
      </c>
      <c r="D393" s="6" t="inlineStr">
        <is>
          <t/>
        </is>
      </c>
      <c r="E393" s="6" t="inlineStr">
        <is>
          <t/>
        </is>
      </c>
      <c r="F393" s="6" t="inlineStr">
        <is>
          <t/>
        </is>
      </c>
      <c r="G393" s="6" t="inlineStr">
        <is>
          <t/>
        </is>
      </c>
    </row>
    <row r="394">
      <c r="A394" s="3" t="inlineStr">
        <is>
          <t>MSO-RB003AL-S</t>
        </is>
      </c>
      <c r="B394" s="2" t="inlineStr">
        <is>
          <t>Mysoda Ruby - silver</t>
        </is>
      </c>
      <c r="C394" s="1" t="n">
        <v>69890.0</v>
      </c>
      <c r="D394" s="7" t="n">
        <f>HYPERLINK("https://www.somogyi.hu/product/mysoda-ruby-silver-mso-rb003al-s-17872","https://www.somogyi.hu/product/mysoda-ruby-silver-mso-rb003al-s-17872")</f>
        <v>0.0</v>
      </c>
      <c r="E394" s="7" t="n">
        <f>HYPERLINK("https://www.somogyi.hu/data/img/product_main_images/small/17872.jpg","https://www.somogyi.hu/data/img/product_main_images/small/17872.jpg")</f>
        <v>0.0</v>
      </c>
      <c r="F394" s="2" t="inlineStr">
        <is>
          <t>6430052009227</t>
        </is>
      </c>
      <c r="G394" s="4" t="inlineStr">
        <is>
          <t>Turbózza fel otthoni frissítő italait a Mysoda Ruby hangtalan működésű szódavíz készítővel! Az MSO-RB003AL-S ezüst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Ruby szódagéppel védheti a környezetét és elkerülheti a felesleges műanyaghulladékot, amelyet a palackozott italok okoznak. Fedezze fel az otthoni szénsavas italok új dimenzióját a finn formatervezésű Mysoda Ruby-val!</t>
        </is>
      </c>
    </row>
    <row r="395">
      <c r="A395" s="3" t="inlineStr">
        <is>
          <t>MSO-TB001F-B</t>
        </is>
      </c>
      <c r="B395" s="2" t="inlineStr">
        <is>
          <t>Mysoda Toby - black</t>
        </is>
      </c>
      <c r="C395" s="1" t="n">
        <v>46090.0</v>
      </c>
      <c r="D395" s="7" t="n">
        <f>HYPERLINK("https://www.somogyi.hu/product/mysoda-toby-black-mso-tb001f-b-17871","https://www.somogyi.hu/product/mysoda-toby-black-mso-tb001f-b-17871")</f>
        <v>0.0</v>
      </c>
      <c r="E395" s="7" t="n">
        <f>HYPERLINK("https://www.somogyi.hu/data/img/product_main_images/small/17871.jpg","https://www.somogyi.hu/data/img/product_main_images/small/17871.jpg")</f>
        <v>0.0</v>
      </c>
      <c r="F395" s="2" t="inlineStr">
        <is>
          <t>6430052009876</t>
        </is>
      </c>
      <c r="G395" s="4" t="inlineStr">
        <is>
          <t>Turbózza fel otthoni frissítő italait a Mysoda Toby  hangtalan működésű szódavíz készítővel! Az MSO-TB001F-B fekete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Toby szódagéppel védheti a környezetét és elkerülheti a felesleges műanyaghulladékot, amelyet a palackozott italok okoznak. Fedezze fel otthoni szénsavas italok új dimenzióját a finn formatervezésű Mysoda Toby-val!</t>
        </is>
      </c>
    </row>
    <row r="396">
      <c r="A396" s="6" t="inlineStr">
        <is>
          <t xml:space="preserve">   Háztartási gép, eszköz / Konyhai páraelszívó</t>
        </is>
      </c>
      <c r="B396" s="6" t="inlineStr">
        <is>
          <t/>
        </is>
      </c>
      <c r="C396" s="6" t="inlineStr">
        <is>
          <t/>
        </is>
      </c>
      <c r="D396" s="6" t="inlineStr">
        <is>
          <t/>
        </is>
      </c>
      <c r="E396" s="6" t="inlineStr">
        <is>
          <t/>
        </is>
      </c>
      <c r="F396" s="6" t="inlineStr">
        <is>
          <t/>
        </is>
      </c>
      <c r="G396" s="6" t="inlineStr">
        <is>
          <t/>
        </is>
      </c>
    </row>
    <row r="397">
      <c r="A397" s="3" t="inlineStr">
        <is>
          <t>KPE 5019B</t>
        </is>
      </c>
      <c r="B397" s="2" t="inlineStr">
        <is>
          <t>Home KPE 5019B konyhai páraelszívó STORM, három sebességfokozat, légszállítás: 190 m3/h, 38 W, 50 cm, fekete</t>
        </is>
      </c>
      <c r="C397" s="1" t="n">
        <v>27590.0</v>
      </c>
      <c r="D397" s="7" t="n">
        <f>HYPERLINK("https://www.somogyi.hu/product/home-kpe-5019b-konyhai-paraelszivo-storm-harom-sebessegfokozat-legszallitas-190-m3-h-38-w-50-cm-fekete-kpe-5019b-18159","https://www.somogyi.hu/product/home-kpe-5019b-konyhai-paraelszivo-storm-harom-sebessegfokozat-legszallitas-190-m3-h-38-w-50-cm-fekete-kpe-5019b-18159")</f>
        <v>0.0</v>
      </c>
      <c r="E397" s="7" t="n">
        <f>HYPERLINK("https://www.somogyi.hu/data/img/product_main_images/small/18159.jpg","https://www.somogyi.hu/data/img/product_main_images/small/18159.jpg")</f>
        <v>0.0</v>
      </c>
      <c r="F397" s="2" t="inlineStr">
        <is>
          <t>5999084961817</t>
        </is>
      </c>
      <c r="G397" s="4" t="inlineStr">
        <is>
          <t>STORM névre keresztelt konyhai páraelszívó családunk KPE 5019B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5019B páraelszívó használatával konyhája tiszta és szellőzött lesz!</t>
        </is>
      </c>
    </row>
    <row r="398">
      <c r="A398" s="3" t="inlineStr">
        <is>
          <t>KPE 6090/A</t>
        </is>
      </c>
      <c r="B398" s="2" t="inlineStr">
        <is>
          <t>Home KPE 6090/A alumínium zsírszűrő CYCLONE páraelszívókhoz</t>
        </is>
      </c>
      <c r="C398" s="1" t="n">
        <v>2890.0</v>
      </c>
      <c r="D398" s="7" t="n">
        <f>HYPERLINK("https://www.somogyi.hu/product/home-kpe-6090-a-aluminium-zsirszuro-cyclone-paraelszivokhoz-kpe-6090-a-18143","https://www.somogyi.hu/product/home-kpe-6090-a-aluminium-zsirszuro-cyclone-paraelszivokhoz-kpe-6090-a-18143")</f>
        <v>0.0</v>
      </c>
      <c r="E398" s="7" t="n">
        <f>HYPERLINK("https://www.somogyi.hu/data/img/product_main_images/small/18143.jpg","https://www.somogyi.hu/data/img/product_main_images/small/18143.jpg")</f>
        <v>0.0</v>
      </c>
      <c r="F398" s="2" t="inlineStr">
        <is>
          <t>5999084961657</t>
        </is>
      </c>
      <c r="G398" s="4" t="inlineStr">
        <is>
          <t>KPE 6090/A típusszámú mosható, 5 rétegű alumíniumhálós zsírszűrő tökéletesen illeszkedik minden CYCLONE névre keresztelt konyhai páraelszívó családunk tagjához.</t>
        </is>
      </c>
    </row>
    <row r="399">
      <c r="A399" s="3" t="inlineStr">
        <is>
          <t>KPE 6039G</t>
        </is>
      </c>
      <c r="B399" s="2" t="inlineStr">
        <is>
          <t>Home KPE 6039G konyhai páraelszívó CYCLONE, érintésvezérlés + kézmozgással vezérlés, három sebességfokozat, légszállítás: 390 m3/h, 105 W,  60 cm</t>
        </is>
      </c>
      <c r="C399" s="1" t="n">
        <v>58490.0</v>
      </c>
      <c r="D399" s="7" t="n">
        <f>HYPERLINK("https://www.somogyi.hu/product/home-kpe-6039g-konyhai-paraelszivo-cyclone-erintesvezerles-kezmozgassal-vezerles-harom-sebessegfokozat-legszallitas-390-m3-h-105-w-60-cm-kpe-6039g-18140","https://www.somogyi.hu/product/home-kpe-6039g-konyhai-paraelszivo-cyclone-erintesvezerles-kezmozgassal-vezerles-harom-sebessegfokozat-legszallitas-390-m3-h-105-w-60-cm-kpe-6039g-18140")</f>
        <v>0.0</v>
      </c>
      <c r="E399" s="7" t="n">
        <f>HYPERLINK("https://www.somogyi.hu/data/img/product_main_images/small/18140.jpg","https://www.somogyi.hu/data/img/product_main_images/small/18140.jpg")</f>
        <v>0.0</v>
      </c>
      <c r="F399" s="2" t="inlineStr">
        <is>
          <t>5999084961626</t>
        </is>
      </c>
      <c r="G399" s="4" t="inlineStr">
        <is>
          <t>CYCLONE névre keresztelt konyhai páraelszívó családunk KPE 6039G modellje a modern design és a hatékony működés tökéletes ötvözete. Az SPCC fekete acéllemezből és elegáns fekete üvegből készült borításával a KPE 6039G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60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6039G páraelszívó használatával konyhája tiszta és szellőzött lesz!</t>
        </is>
      </c>
    </row>
    <row r="400">
      <c r="A400" s="3" t="inlineStr">
        <is>
          <t>KPE 9039G</t>
        </is>
      </c>
      <c r="B400" s="2" t="inlineStr">
        <is>
          <t>Home KPE 9039G konyhai páraelszívó CYCLONE érintésvezérlés + kézmozgással vezérlés, három sebességfokozat, légszállítás: 390 m3/h, 105 W,  90 cm</t>
        </is>
      </c>
      <c r="C400" s="1" t="n">
        <v>65490.0</v>
      </c>
      <c r="D400" s="7" t="n">
        <f>HYPERLINK("https://www.somogyi.hu/product/home-kpe-9039g-konyhai-paraelszivo-cyclone-erintesvezerles-kezmozgassal-vezerles-harom-sebessegfokozat-legszallitas-390-m3-h-105-w-90-cm-kpe-9039g-18141","https://www.somogyi.hu/product/home-kpe-9039g-konyhai-paraelszivo-cyclone-erintesvezerles-kezmozgassal-vezerles-harom-sebessegfokozat-legszallitas-390-m3-h-105-w-90-cm-kpe-9039g-18141")</f>
        <v>0.0</v>
      </c>
      <c r="E400" s="7" t="n">
        <f>HYPERLINK("https://www.somogyi.hu/data/img/product_main_images/small/18141.jpg","https://www.somogyi.hu/data/img/product_main_images/small/18141.jpg")</f>
        <v>0.0</v>
      </c>
      <c r="F400" s="2" t="inlineStr">
        <is>
          <t>5999084961633</t>
        </is>
      </c>
      <c r="G400" s="4" t="inlineStr">
        <is>
          <t>CYCLONE névre keresztelt konyhai páraelszívó családunk KPE 9039G modellje a modern design és a hatékony működés tökéletes ötvözete. 
Az SPCC fekete acéllemezből és elegáns fekete üvegből készült borításával a KPE 9039G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90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9039G páraelszívó használatával konyhája tiszta és szellőzött lesz!</t>
        </is>
      </c>
    </row>
    <row r="401">
      <c r="A401" s="3" t="inlineStr">
        <is>
          <t>KPE 6090/C</t>
        </is>
      </c>
      <c r="B401" s="2" t="inlineStr">
        <is>
          <t>Home KPE 6090/C aktívszén szűrő készlet CYCLONE páraelszívókhoz 2db</t>
        </is>
      </c>
      <c r="C401" s="1" t="n">
        <v>2190.0</v>
      </c>
      <c r="D401" s="7" t="n">
        <f>HYPERLINK("https://www.somogyi.hu/product/home-kpe-6090-c-aktivszen-szuro-keszlet-cyclone-paraelszivokhoz-2db-kpe-6090-c-18142","https://www.somogyi.hu/product/home-kpe-6090-c-aktivszen-szuro-keszlet-cyclone-paraelszivokhoz-2db-kpe-6090-c-18142")</f>
        <v>0.0</v>
      </c>
      <c r="E401" s="7" t="n">
        <f>HYPERLINK("https://www.somogyi.hu/data/img/product_main_images/small/18142.jpg","https://www.somogyi.hu/data/img/product_main_images/small/18142.jpg")</f>
        <v>0.0</v>
      </c>
      <c r="F401" s="2" t="inlineStr">
        <is>
          <t>5999084961640</t>
        </is>
      </c>
      <c r="G401" s="4" t="inlineStr">
        <is>
          <t>KPE 6090/C típusszámú aktívszén szűrő készlet (2 db) tökéletesen illeszkedik minden CYCLONE névre keresztelt konyhai páraelszívó családunk tagjához.</t>
        </is>
      </c>
    </row>
    <row r="402">
      <c r="A402" s="3" t="inlineStr">
        <is>
          <t>KPE 6044S</t>
        </is>
      </c>
      <c r="B402" s="2" t="inlineStr">
        <is>
          <t>Home KPE 6044S konyhai páraelszívó TWISTER, két sebességfokozat, légszállítás: 440 m3/h, 105 W, rozsdamentes acél panel + szürke test</t>
        </is>
      </c>
      <c r="C402" s="1" t="n">
        <v>36490.0</v>
      </c>
      <c r="D402" s="7" t="n">
        <f>HYPERLINK("https://www.somogyi.hu/product/home-kpe-6044s-konyhai-paraelszivo-twister-ket-sebessegfokozat-legszallitas-440-m3-h-105-w-rozsdamentes-acel-panel-szurke-test-kpe-6044s-18144","https://www.somogyi.hu/product/home-kpe-6044s-konyhai-paraelszivo-twister-ket-sebessegfokozat-legszallitas-440-m3-h-105-w-rozsdamentes-acel-panel-szurke-test-kpe-6044s-18144")</f>
        <v>0.0</v>
      </c>
      <c r="E402" s="7" t="n">
        <f>HYPERLINK("https://www.somogyi.hu/data/img/product_main_images/small/18144.jpg","https://www.somogyi.hu/data/img/product_main_images/small/18144.jpg")</f>
        <v>0.0</v>
      </c>
      <c r="F402" s="2" t="inlineStr">
        <is>
          <t>5999084961664</t>
        </is>
      </c>
      <c r="G402" s="4" t="inlineStr">
        <is>
          <t>TWISTER névre keresztelt konyhai páraelszívó családunk KPE 6044S modellje a modern design és a hatékony működés tökéletes ötvözete. A rozsdamentes acél panel és a szürke színű test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6044S páraelszívó használatával konyhája tiszta és szellőzött lesz!</t>
        </is>
      </c>
    </row>
    <row r="403">
      <c r="A403" s="3" t="inlineStr">
        <is>
          <t>KPE 5019/A</t>
        </is>
      </c>
      <c r="B403" s="2" t="inlineStr">
        <is>
          <t>Home KPE 5019/A alumínium zsírszűrő STORM páraelszívókhoz</t>
        </is>
      </c>
      <c r="C403" s="1" t="n">
        <v>2390.0</v>
      </c>
      <c r="D403" s="7" t="n">
        <f>HYPERLINK("https://www.somogyi.hu/product/home-kpe-5019-a-aluminium-zsirszuro-storm-paraelszivokhoz-kpe-5019-a-18161","https://www.somogyi.hu/product/home-kpe-5019-a-aluminium-zsirszuro-storm-paraelszivokhoz-kpe-5019-a-18161")</f>
        <v>0.0</v>
      </c>
      <c r="E403" s="7" t="n">
        <f>HYPERLINK("https://www.somogyi.hu/data/img/product_main_images/small/18161.jpg","https://www.somogyi.hu/data/img/product_main_images/small/18161.jpg")</f>
        <v>0.0</v>
      </c>
      <c r="F403" s="2" t="inlineStr">
        <is>
          <t>5999084961831</t>
        </is>
      </c>
      <c r="G403" s="4" t="inlineStr">
        <is>
          <t>KPE 5019/A típusszámú mosható, 3 rétegű alumíniumhálós zsírszűrő tökéletesen illeszkedik minden STORM névre keresztelt konyhai páraelszívó családunk tagjához.</t>
        </is>
      </c>
    </row>
    <row r="404">
      <c r="A404" s="3" t="inlineStr">
        <is>
          <t>KPE 6044B</t>
        </is>
      </c>
      <c r="B404" s="2" t="inlineStr">
        <is>
          <t>Home KPE 6044B konyhai páraelszívó TWISTER, két sebességfokozat, légszállítás: 440 m3/h, 105 W, fekete,</t>
        </is>
      </c>
      <c r="C404" s="1" t="n">
        <v>34890.0</v>
      </c>
      <c r="D404" s="7" t="n">
        <f>HYPERLINK("https://www.somogyi.hu/product/home-kpe-6044b-konyhai-paraelszivo-twister-ket-sebessegfokozat-legszallitas-440-m3-h-105-w-fekete-kpe-6044b-18145","https://www.somogyi.hu/product/home-kpe-6044b-konyhai-paraelszivo-twister-ket-sebessegfokozat-legszallitas-440-m3-h-105-w-fekete-kpe-6044b-18145")</f>
        <v>0.0</v>
      </c>
      <c r="E404" s="7" t="n">
        <f>HYPERLINK("https://www.somogyi.hu/data/img/product_main_images/small/18145.jpg","https://www.somogyi.hu/data/img/product_main_images/small/18145.jpg")</f>
        <v>0.0</v>
      </c>
      <c r="F404" s="2" t="inlineStr">
        <is>
          <t>5999084961671</t>
        </is>
      </c>
      <c r="G404" s="4" t="inlineStr">
        <is>
          <t>TWISTER névre keresztelt konyhai páraelszívó családunk KPE 6044B modellje a modern design és a hatékony működés tökéletes ötvözete. A fekete színű termék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6044B páraelszívó használatával konyhája tiszta és szellőzött lesz!</t>
        </is>
      </c>
    </row>
    <row r="405">
      <c r="A405" s="3" t="inlineStr">
        <is>
          <t>KPE 6038S</t>
        </is>
      </c>
      <c r="B405" s="2" t="inlineStr">
        <is>
          <t>Home KPE 6038S konyhai páraelszívó HURRICANE, három sebességfokozat, 2 motoros, légszállítás: 380 m3/h, 200 W, 60cm, rozsdamentes acél</t>
        </is>
      </c>
      <c r="C405" s="1" t="n">
        <v>47890.0</v>
      </c>
      <c r="D405" s="7" t="n">
        <f>HYPERLINK("https://www.somogyi.hu/product/home-kpe-6038s-konyhai-paraelszivo-hurricane-harom-sebessegfokozat-2-motoros-legszallitas-380-m3-h-200-w-60cm-rozsdamentes-acel-kpe-6038s-18148","https://www.somogyi.hu/product/home-kpe-6038s-konyhai-paraelszivo-hurricane-harom-sebessegfokozat-2-motoros-legszallitas-380-m3-h-200-w-60cm-rozsdamentes-acel-kpe-6038s-18148")</f>
        <v>0.0</v>
      </c>
      <c r="E405" s="7" t="n">
        <f>HYPERLINK("https://www.somogyi.hu/data/img/product_main_images/small/18148.jpg","https://www.somogyi.hu/data/img/product_main_images/small/18148.jpg")</f>
        <v>0.0</v>
      </c>
      <c r="F405" s="2" t="inlineStr">
        <is>
          <t>5999084961701</t>
        </is>
      </c>
      <c r="G405" s="4" t="inlineStr">
        <is>
          <t>HURRICANE névre keresztelt 2 motoros konyhai páraelszívó családunk KPE 6038S modellje a modern design és a hatékony működés tökéletes ötvözete. A rozsdamentes acél panel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6038S páraelszívó használatával konyhája tiszta és szellőzött lesz!</t>
        </is>
      </c>
    </row>
    <row r="406">
      <c r="A406" s="3" t="inlineStr">
        <is>
          <t>KPE 6038W</t>
        </is>
      </c>
      <c r="B406" s="2" t="inlineStr">
        <is>
          <t>Home KPE 6038W konyhai páraelszívó HURRICANE, három sebességfokozat, 2 motoros, légszállítás: 380 m3/h, 200 W, 60cm, fehér</t>
        </is>
      </c>
      <c r="C406" s="1" t="n">
        <v>43090.0</v>
      </c>
      <c r="D406" s="7" t="n">
        <f>HYPERLINK("https://www.somogyi.hu/product/home-kpe-6038w-konyhai-paraelszivo-hurricane-harom-sebessegfokozat-2-motoros-legszallitas-380-m3-h-200-w-60cm-feher-kpe-6038w-18149","https://www.somogyi.hu/product/home-kpe-6038w-konyhai-paraelszivo-hurricane-harom-sebessegfokozat-2-motoros-legszallitas-380-m3-h-200-w-60cm-feher-kpe-6038w-18149")</f>
        <v>0.0</v>
      </c>
      <c r="E406" s="7" t="n">
        <f>HYPERLINK("https://www.somogyi.hu/data/img/product_main_images/small/18149.jpg","https://www.somogyi.hu/data/img/product_main_images/small/18149.jpg")</f>
        <v>0.0</v>
      </c>
      <c r="F406" s="2" t="inlineStr">
        <is>
          <t>5999084961718</t>
        </is>
      </c>
      <c r="G406" s="4" t="inlineStr">
        <is>
          <t>HURRICANE névre keresztelt 2 motoros konyhai páraelszívó családunk KPE 6038W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6038W páraelszívó használatával konyhája tiszta és szellőzött lesz!</t>
        </is>
      </c>
    </row>
    <row r="407">
      <c r="A407" s="3" t="inlineStr">
        <is>
          <t>KPE 6020S</t>
        </is>
      </c>
      <c r="B407" s="2" t="inlineStr">
        <is>
          <t>Home KPE 6020S konyhai páraelszívó TORNADO, három sebességfokozat, légszállítás: 200 m3/h, 38 W, 60 cm, rozsdamentes acél</t>
        </is>
      </c>
      <c r="C407" s="1" t="n">
        <v>31290.0</v>
      </c>
      <c r="D407" s="7" t="n">
        <f>HYPERLINK("https://www.somogyi.hu/product/home-kpe-6020s-konyhai-paraelszivo-tornado-harom-sebessegfokozat-legszallitas-200-m3-h-38-w-60-cm-rozsdamentes-acel-kpe-6020s-18152","https://www.somogyi.hu/product/home-kpe-6020s-konyhai-paraelszivo-tornado-harom-sebessegfokozat-legszallitas-200-m3-h-38-w-60-cm-rozsdamentes-acel-kpe-6020s-18152")</f>
        <v>0.0</v>
      </c>
      <c r="E407" s="7" t="n">
        <f>HYPERLINK("https://www.somogyi.hu/data/img/product_main_images/small/18152.jpg","https://www.somogyi.hu/data/img/product_main_images/small/18152.jpg")</f>
        <v>0.0</v>
      </c>
      <c r="F407" s="2" t="inlineStr">
        <is>
          <t>5999084961749</t>
        </is>
      </c>
      <c r="G407" s="4" t="inlineStr">
        <is>
          <t>TORNADO névre keresztelt konyhai páraelszívó családunk KPE 6020S modellje a modern design és a hatékony működés tökéletes ötvözete. A rozsdamentes acél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6020S páraelszívó használatával konyhája tiszta és szellőzött lesz!</t>
        </is>
      </c>
    </row>
    <row r="408">
      <c r="A408" s="3" t="inlineStr">
        <is>
          <t>KPE 60/A</t>
        </is>
      </c>
      <c r="B408" s="2" t="inlineStr">
        <is>
          <t>Home KPE 60/A alumínium zsírszűrő HURRICANE és TORNADO páraelszívókhoz</t>
        </is>
      </c>
      <c r="C408" s="1" t="n">
        <v>2390.0</v>
      </c>
      <c r="D408" s="7" t="n">
        <f>HYPERLINK("https://www.somogyi.hu/product/home-kpe-60-a-aluminium-zsirszuro-hurricane-es-tornado-paraelszivokhoz-kpe-60-a-18156","https://www.somogyi.hu/product/home-kpe-60-a-aluminium-zsirszuro-hurricane-es-tornado-paraelszivokhoz-kpe-60-a-18156")</f>
        <v>0.0</v>
      </c>
      <c r="E408" s="7" t="n">
        <f>HYPERLINK("https://www.somogyi.hu/data/img/product_main_images/small/18156.jpg","https://www.somogyi.hu/data/img/product_main_images/small/18156.jpg")</f>
        <v>0.0</v>
      </c>
      <c r="F408" s="2" t="inlineStr">
        <is>
          <t>5999084961787</t>
        </is>
      </c>
      <c r="G408" s="4" t="inlineStr">
        <is>
          <t>KPE 60/A típusszámú mosható, 3 rétegű alumíniumhálós zsírszűrő tökéletesen illeszkedik minden HURRICANE és TORNADO névre keresztelt konyhai páraelszívó családunk tagjához.</t>
        </is>
      </c>
    </row>
    <row r="409">
      <c r="A409" s="3" t="inlineStr">
        <is>
          <t>KPE 6020W</t>
        </is>
      </c>
      <c r="B409" s="2" t="inlineStr">
        <is>
          <t>Home KPE 6020W konyhai páraelszívó TORNADO, három sebességfokozat, légszállítás: 200 m3/h, 38 W, 60 cm, fehér</t>
        </is>
      </c>
      <c r="C409" s="1" t="n">
        <v>27590.0</v>
      </c>
      <c r="D409" s="7" t="n">
        <f>HYPERLINK("https://www.somogyi.hu/product/home-kpe-6020w-konyhai-paraelszivo-tornado-harom-sebessegfokozat-legszallitas-200-m3-h-38-w-60-cm-feher-kpe-6020w-18153","https://www.somogyi.hu/product/home-kpe-6020w-konyhai-paraelszivo-tornado-harom-sebessegfokozat-legszallitas-200-m3-h-38-w-60-cm-feher-kpe-6020w-18153")</f>
        <v>0.0</v>
      </c>
      <c r="E409" s="7" t="n">
        <f>HYPERLINK("https://www.somogyi.hu/data/img/product_main_images/small/18153.jpg","https://www.somogyi.hu/data/img/product_main_images/small/18153.jpg")</f>
        <v>0.0</v>
      </c>
      <c r="F409" s="2" t="inlineStr">
        <is>
          <t>5999084961756</t>
        </is>
      </c>
      <c r="G409" s="4" t="inlineStr">
        <is>
          <t>TORNADO névre keresztelt konyhai páraelszívó családunk KPE 6020W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6020W páraelszívó használatával konyhája tiszta és szellőzött lesz!</t>
        </is>
      </c>
    </row>
    <row r="410">
      <c r="A410" s="3" t="inlineStr">
        <is>
          <t>KPE 6020B</t>
        </is>
      </c>
      <c r="B410" s="2" t="inlineStr">
        <is>
          <t>Home KPE 6020B konyhai páraelszívó TORNADO, három sebességfokozat, légszállítás: 200 m3/h, 38 W, 60 cm, fekete</t>
        </is>
      </c>
      <c r="C410" s="1" t="n">
        <v>27590.0</v>
      </c>
      <c r="D410" s="7" t="n">
        <f>HYPERLINK("https://www.somogyi.hu/product/home-kpe-6020b-konyhai-paraelszivo-tornado-harom-sebessegfokozat-legszallitas-200-m3-h-38-w-60-cm-fekete-kpe-6020b-18154","https://www.somogyi.hu/product/home-kpe-6020b-konyhai-paraelszivo-tornado-harom-sebessegfokozat-legszallitas-200-m3-h-38-w-60-cm-fekete-kpe-6020b-18154")</f>
        <v>0.0</v>
      </c>
      <c r="E410" s="7" t="n">
        <f>HYPERLINK("https://www.somogyi.hu/data/img/product_main_images/small/18154.jpg","https://www.somogyi.hu/data/img/product_main_images/small/18154.jpg")</f>
        <v>0.0</v>
      </c>
      <c r="F410" s="2" t="inlineStr">
        <is>
          <t>5999084961763</t>
        </is>
      </c>
      <c r="G410" s="4" t="inlineStr">
        <is>
          <t>TORNADO névre keresztelt konyhai páraelszívó családunk KPE 6020B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6020B páraelszívó használatával konyhája tiszta és szellőzött lesz!</t>
        </is>
      </c>
    </row>
    <row r="411">
      <c r="A411" s="3" t="inlineStr">
        <is>
          <t>KPEHKIV</t>
        </is>
      </c>
      <c r="B411" s="2" t="inlineStr">
        <is>
          <t>Home KPEHKIV hátsó kivezető idom konyhai páraelszívóhoz, STORM és HURRICANE típusokhoz, horganyzott, Ø117 mm, 160 x 52 mm szögletes rész, 188 x 160 mm tartólemez</t>
        </is>
      </c>
      <c r="C411" s="1" t="n">
        <v>13790.0</v>
      </c>
      <c r="D411" s="7" t="n">
        <f>HYPERLINK("https://www.somogyi.hu/product/home-kpehkiv-hatso-kivezeto-idom-konyhai-paraelszivohoz-storm-es-hurricane-tipusokhoz-horganyzott-117-mm-160-x-52-mm-szogletes-resz-188-x-160-mm-tartolemez-kpehkiv-18482","https://www.somogyi.hu/product/home-kpehkiv-hatso-kivezeto-idom-konyhai-paraelszivohoz-storm-es-hurricane-tipusokhoz-horganyzott-117-mm-160-x-52-mm-szogletes-resz-188-x-160-mm-tartolemez-kpehkiv-18482")</f>
        <v>0.0</v>
      </c>
      <c r="E411" s="7" t="n">
        <f>HYPERLINK("https://www.somogyi.hu/data/img/product_main_images/small/18482.jpg","https://www.somogyi.hu/data/img/product_main_images/small/18482.jpg")</f>
        <v>0.0</v>
      </c>
      <c r="F411" s="2" t="inlineStr">
        <is>
          <t>5999084965006</t>
        </is>
      </c>
      <c r="G411" s="4" t="inlineStr">
        <is>
          <t>A tökéletes megoldást keresi a konyhai páraelszívója hátsó kivezetéséhez? A Home KPEHKIV hátsó kivezető idom kifejezetten a Somogyi Elektronic által forgalmazott STORM és HURRICANE típusú konyhai páraelszívókhoz lett tervezve.
Az idom hengeres része 117 mm átmérőjű, míg a szögletes rész ideális mérettel, 160 x 52mm méretekkel rendelkezik, így biztosítva a könnyű és szoros illeszkedést. A tartólemez méretei, 188 x 160 mm, tovább növelik a szerelés egyszerűségét és stabilitását.
Legyen szó akár új telepítésről, akár meglévő rendszer frissítéséről, ez az idom tökéletes választás a hatékony és esztétikus kivezetés érdekében. Válassza a Home KPEHKIV idomot a problémamentes páraelszívó telepítésért!</t>
        </is>
      </c>
    </row>
    <row r="412">
      <c r="A412" s="3" t="inlineStr">
        <is>
          <t>KPE 5019S</t>
        </is>
      </c>
      <c r="B412" s="2" t="inlineStr">
        <is>
          <t>Home KPE 5019S konyhai páraelszívó STORM, három sebességfokozat, légszállítás: 190 m3/h, 38 W, 50 cm, rozsdamentes acél</t>
        </is>
      </c>
      <c r="C412" s="1" t="n">
        <v>29190.0</v>
      </c>
      <c r="D412" s="7" t="n">
        <f>HYPERLINK("https://www.somogyi.hu/product/home-kpe-5019s-konyhai-paraelszivo-storm-harom-sebessegfokozat-legszallitas-190-m3-h-38-w-50-cm-rozsdamentes-acel-kpe-5019s-18157","https://www.somogyi.hu/product/home-kpe-5019s-konyhai-paraelszivo-storm-harom-sebessegfokozat-legszallitas-190-m3-h-38-w-50-cm-rozsdamentes-acel-kpe-5019s-18157")</f>
        <v>0.0</v>
      </c>
      <c r="E412" s="7" t="n">
        <f>HYPERLINK("https://www.somogyi.hu/data/img/product_main_images/small/18157.jpg","https://www.somogyi.hu/data/img/product_main_images/small/18157.jpg")</f>
        <v>0.0</v>
      </c>
      <c r="F412" s="2" t="inlineStr">
        <is>
          <t>5999084961794</t>
        </is>
      </c>
      <c r="G412" s="4" t="inlineStr">
        <is>
          <t>STORM névre keresztelt konyhai páraelszívó családunk KPE 5019S modellje a modern design és a hatékony működés tökéletes ötvözete. A rozsdamentes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5019S páraelszívó használatával konyhája tiszta és szellőzött lesz!</t>
        </is>
      </c>
    </row>
    <row r="413">
      <c r="A413" s="3" t="inlineStr">
        <is>
          <t>KPE 5019W</t>
        </is>
      </c>
      <c r="B413" s="2" t="inlineStr">
        <is>
          <t>Home KPE 5019W konyhai páraelszívó STORM, három sebességfokozat, légszállítás: 190 m3/h, 38 W, 50 cm, fehér</t>
        </is>
      </c>
      <c r="C413" s="1" t="n">
        <v>25890.0</v>
      </c>
      <c r="D413" s="7" t="n">
        <f>HYPERLINK("https://www.somogyi.hu/product/home-kpe-5019w-konyhai-paraelszivo-storm-harom-sebessegfokozat-legszallitas-190-m3-h-38-w-50-cm-feher-kpe-5019w-18158","https://www.somogyi.hu/product/home-kpe-5019w-konyhai-paraelszivo-storm-harom-sebessegfokozat-legszallitas-190-m3-h-38-w-50-cm-feher-kpe-5019w-18158")</f>
        <v>0.0</v>
      </c>
      <c r="E413" s="7" t="n">
        <f>HYPERLINK("https://www.somogyi.hu/data/img/product_main_images/small/18158.jpg","https://www.somogyi.hu/data/img/product_main_images/small/18158.jpg")</f>
        <v>0.0</v>
      </c>
      <c r="F413" s="2" t="inlineStr">
        <is>
          <t>5999084961800</t>
        </is>
      </c>
      <c r="G413" s="4" t="inlineStr">
        <is>
          <t>STORM névre keresztelt konyhai páraelszívó családunk KPE 5019W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5019W páraelszívó használatával konyhája tiszta és szellőzött lesz!</t>
        </is>
      </c>
    </row>
    <row r="414">
      <c r="A414" s="3" t="inlineStr">
        <is>
          <t>KPE 6038B</t>
        </is>
      </c>
      <c r="B414" s="2" t="inlineStr">
        <is>
          <t>Home KPE 6038B konyhai páraelszívó HURRICANE, három sebességfokozat, 2 motoros, légszállítás: 380 m3/h, 200 W, 60cm, fekete</t>
        </is>
      </c>
      <c r="C414" s="1" t="n">
        <v>46190.0</v>
      </c>
      <c r="D414" s="7" t="n">
        <f>HYPERLINK("https://www.somogyi.hu/product/home-kpe-6038b-konyhai-paraelszivo-hurricane-harom-sebessegfokozat-2-motoros-legszallitas-380-m3-h-200-w-60cm-fekete-kpe-6038b-18150","https://www.somogyi.hu/product/home-kpe-6038b-konyhai-paraelszivo-hurricane-harom-sebessegfokozat-2-motoros-legszallitas-380-m3-h-200-w-60cm-fekete-kpe-6038b-18150")</f>
        <v>0.0</v>
      </c>
      <c r="E414" s="7" t="n">
        <f>HYPERLINK("https://www.somogyi.hu/data/img/product_main_images/small/18150.jpg","https://www.somogyi.hu/data/img/product_main_images/small/18150.jpg")</f>
        <v>0.0</v>
      </c>
      <c r="F414" s="2" t="inlineStr">
        <is>
          <t>5999084961725</t>
        </is>
      </c>
      <c r="G414" s="4" t="inlineStr">
        <is>
          <t>HURRICANE névre keresztelt 2 motoros konyhai páraelszívó családunk KPE 6038B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6038B páraelszívó használatával konyhája tiszta és szellőzött lesz!</t>
        </is>
      </c>
    </row>
    <row r="415">
      <c r="A415" s="3" t="inlineStr">
        <is>
          <t>KPE 6044/A</t>
        </is>
      </c>
      <c r="B415" s="2" t="inlineStr">
        <is>
          <t>Home KPE 6044/A aktívszén szűrő készlet TWISTER páraelszívókhoz, 2db</t>
        </is>
      </c>
      <c r="C415" s="1" t="n">
        <v>5690.0</v>
      </c>
      <c r="D415" s="7" t="n">
        <f>HYPERLINK("https://www.somogyi.hu/product/home-kpe-6044-a-aktivszen-szuro-keszlet-twister-paraelszivokhoz-2db-kpe-6044-a-18147","https://www.somogyi.hu/product/home-kpe-6044-a-aktivszen-szuro-keszlet-twister-paraelszivokhoz-2db-kpe-6044-a-18147")</f>
        <v>0.0</v>
      </c>
      <c r="E415" s="7" t="n">
        <f>HYPERLINK("https://www.somogyi.hu/data/img/product_main_images/small/18147.jpg","https://www.somogyi.hu/data/img/product_main_images/small/18147.jpg")</f>
        <v>0.0</v>
      </c>
      <c r="F415" s="2" t="inlineStr">
        <is>
          <t>5999084961695</t>
        </is>
      </c>
      <c r="G415" s="4" t="inlineStr">
        <is>
          <t>KPE 6044/A típusszámú mosható, 4 rétegű alumíniumhálós zsírszűrő tökéletesen illeszkedik minden TWISTER névre keresztelt konyhai páraelszívó családunk tagjához.</t>
        </is>
      </c>
    </row>
    <row r="416">
      <c r="A416" s="3" t="inlineStr">
        <is>
          <t>KPE 5019/COT</t>
        </is>
      </c>
      <c r="B416" s="2" t="inlineStr">
        <is>
          <t>Home KPE 5019/COT pamutszűrő STORM páraelszívókhoz</t>
        </is>
      </c>
      <c r="C416" s="1" t="n">
        <v>2390.0</v>
      </c>
      <c r="D416" s="7" t="n">
        <f>HYPERLINK("https://www.somogyi.hu/product/home-kpe-5019-cot-pamutszuro-storm-paraelszivokhoz-kpe-5019-cot-18160","https://www.somogyi.hu/product/home-kpe-5019-cot-pamutszuro-storm-paraelszivokhoz-kpe-5019-cot-18160")</f>
        <v>0.0</v>
      </c>
      <c r="E416" s="7" t="n">
        <f>HYPERLINK("https://www.somogyi.hu/data/img/product_main_images/small/18160.jpg","https://www.somogyi.hu/data/img/product_main_images/small/18160.jpg")</f>
        <v>0.0</v>
      </c>
      <c r="F416" s="2" t="inlineStr">
        <is>
          <t>5999084961824</t>
        </is>
      </c>
      <c r="G416" s="4" t="inlineStr">
        <is>
          <t>KPE 5019/COT típusszámú pamutszűrő (1 db) tökéletesen illeszkedik minden STORM névre keresztelt konyhai páraelszívó családunk tagjához.</t>
        </is>
      </c>
    </row>
    <row r="417">
      <c r="A417" s="3" t="inlineStr">
        <is>
          <t>KPE 6020/C</t>
        </is>
      </c>
      <c r="B417" s="2" t="inlineStr">
        <is>
          <t>Home KPE 6020/C aktívszén szűrő TORNADO páraelszívókhoz</t>
        </is>
      </c>
      <c r="C417" s="1" t="n">
        <v>1190.0</v>
      </c>
      <c r="D417" s="7" t="n">
        <f>HYPERLINK("https://www.somogyi.hu/product/home-kpe-6020-c-aktivszen-szuro-tornado-paraelszivokhoz-kpe-6020-c-18155","https://www.somogyi.hu/product/home-kpe-6020-c-aktivszen-szuro-tornado-paraelszivokhoz-kpe-6020-c-18155")</f>
        <v>0.0</v>
      </c>
      <c r="E417" s="7" t="n">
        <f>HYPERLINK("https://www.somogyi.hu/data/img/product_main_images/small/18155.jpg","https://www.somogyi.hu/data/img/product_main_images/small/18155.jpg")</f>
        <v>0.0</v>
      </c>
      <c r="F417" s="2" t="inlineStr">
        <is>
          <t>5999084961770</t>
        </is>
      </c>
      <c r="G417" s="4" t="inlineStr">
        <is>
          <t>KPE 6020/C típusszámú aktívszén szűrő (1 db) tökéletesen illeszkedik minden TORNADO névre keresztelt konyhai páraelszívó családunk tagjához.</t>
        </is>
      </c>
    </row>
    <row r="418">
      <c r="A418" s="6" t="inlineStr">
        <is>
          <t xml:space="preserve">   Háztartási gép, eszköz / Bornyitó</t>
        </is>
      </c>
      <c r="B418" s="6" t="inlineStr">
        <is>
          <t/>
        </is>
      </c>
      <c r="C418" s="6" t="inlineStr">
        <is>
          <t/>
        </is>
      </c>
      <c r="D418" s="6" t="inlineStr">
        <is>
          <t/>
        </is>
      </c>
      <c r="E418" s="6" t="inlineStr">
        <is>
          <t/>
        </is>
      </c>
      <c r="F418" s="6" t="inlineStr">
        <is>
          <t/>
        </is>
      </c>
      <c r="G418" s="6" t="inlineStr">
        <is>
          <t/>
        </is>
      </c>
    </row>
    <row r="419">
      <c r="A419" s="3" t="inlineStr">
        <is>
          <t>PWA102PS</t>
        </is>
      </c>
      <c r="B419" s="2" t="inlineStr">
        <is>
          <t>Kézi vákuumos bordugó</t>
        </is>
      </c>
      <c r="C419" s="1" t="n">
        <v>6890.0</v>
      </c>
      <c r="D419" s="7" t="n">
        <f>HYPERLINK("https://www.somogyi.hu/product/kezi-vakuumos-bordugo-pwa102ps-18071","https://www.somogyi.hu/product/kezi-vakuumos-bordugo-pwa102ps-18071")</f>
        <v>0.0</v>
      </c>
      <c r="E419" s="7" t="n">
        <f>HYPERLINK("https://www.somogyi.hu/data/img/product_main_images/small/18071.jpg","https://www.somogyi.hu/data/img/product_main_images/small/18071.jpg")</f>
        <v>0.0</v>
      </c>
      <c r="F419" s="2" t="inlineStr">
        <is>
          <t>8595248154001</t>
        </is>
      </c>
      <c r="G419" s="4" t="inlineStr">
        <is>
          <t>A PWA102PS kézi vákuumos bordugó ideális választás minden bor és pezsgő kedvelő számára. 
A vákuumszivattyú segítségével egyszerűen eltávolíthatja a levegőt a boros palackból, ezáltal megakadályozva a bor oxidációját és romlását. A vákuumdugó becsavarásával hermetikusan lezárhatja a palackot, így a bor hosszabb ideig megőrzi frissességét és jellegzetes ízét.
A dátum jelzővel ellátott vákuumdugó használata rendkívül praktikus, hiszen nyomon követhető vele az adott bor palackozásának időpontja, így mindig tudhatja, hogy pontosan mikor lett lezárva, mennyi ideje áll a bor.
A pezsgődugó lehetővé teszi, hogy kényelmesen tárolja és frissen tartsa kedvenc pezsgőjét. 
Fekete színű, stílusos, kompakt kialakításának köszönhetően remekül illeszkedik minden konyhába. A készlet díszcsomagolásban érkezik, így akár ajándékként is megállja a helyét.</t>
        </is>
      </c>
    </row>
    <row r="420">
      <c r="A420" s="6" t="inlineStr">
        <is>
          <t xml:space="preserve">   Háztartási gép, eszköz / Műanyag poharak</t>
        </is>
      </c>
      <c r="B420" s="6" t="inlineStr">
        <is>
          <t/>
        </is>
      </c>
      <c r="C420" s="6" t="inlineStr">
        <is>
          <t/>
        </is>
      </c>
      <c r="D420" s="6" t="inlineStr">
        <is>
          <t/>
        </is>
      </c>
      <c r="E420" s="6" t="inlineStr">
        <is>
          <t/>
        </is>
      </c>
      <c r="F420" s="6" t="inlineStr">
        <is>
          <t/>
        </is>
      </c>
      <c r="G420" s="6" t="inlineStr">
        <is>
          <t/>
        </is>
      </c>
    </row>
    <row r="421">
      <c r="A421" s="3" t="inlineStr">
        <is>
          <t>PHR Stemless40B-4</t>
        </is>
      </c>
      <c r="B421" s="2" t="inlineStr">
        <is>
          <t>Törhetetlen öblös vizespohár szett</t>
        </is>
      </c>
      <c r="C421" s="1" t="n">
        <v>2990.0</v>
      </c>
      <c r="D421" s="7" t="n">
        <f>HYPERLINK("https://www.somogyi.hu/product/torhetetlen-oblos-vizespohar-szett-phr-stemless40b-4-18176","https://www.somogyi.hu/product/torhetetlen-oblos-vizespohar-szett-phr-stemless40b-4-18176")</f>
        <v>0.0</v>
      </c>
      <c r="E421" s="7" t="n">
        <f>HYPERLINK("https://www.somogyi.hu/data/img/product_main_images/small/18176.jpg","https://www.somogyi.hu/data/img/product_main_images/small/18176.jpg")</f>
        <v>0.0</v>
      </c>
      <c r="F421" s="2" t="inlineStr">
        <is>
          <t>2221619800012</t>
        </is>
      </c>
      <c r="G421" s="4" t="inlineStr">
        <is>
          <t>A törhetetlen öblös vizespohár szettünk ideális választás rendezvényekre, szórakozóhelyekre egyaránt. A műanyagból készült poharak könnyűek és kényelmesek, 40 cl-es űrtartalmukkal pedig tökéletes méretűek az italok számára. Mosogatógépben moshatóak és mikrohullámú sütőben is biztonságosan használhatóak. Ha személyessé szeretné tenni a poharakat, gravírozhatóak is. A 105 x 88 x 58 mm-es méretükkel és 71 g-os súlyukkal kényelmesen használhatóak mindenki számára. A szett 4 db poharat tartalmaz. Válassza a törhetetlen öblös vizespohár szettünket, hogy élvezhesse kedvenc italát bárhol és bármikor, stressz nélkül!</t>
        </is>
      </c>
    </row>
    <row r="422">
      <c r="A422" s="3" t="inlineStr">
        <is>
          <t>PHR Cuba27-8</t>
        </is>
      </c>
      <c r="B422" s="2" t="inlineStr">
        <is>
          <t>Törhetetlen vizespohár szett</t>
        </is>
      </c>
      <c r="C422" s="1" t="n">
        <v>1290.0</v>
      </c>
      <c r="D422" s="7" t="n">
        <f>HYPERLINK("https://www.somogyi.hu/product/torhetetlen-vizespohar-szett-phr-cuba27-8-18169","https://www.somogyi.hu/product/torhetetlen-vizespohar-szett-phr-cuba27-8-18169")</f>
        <v>0.0</v>
      </c>
      <c r="E422" s="7" t="n">
        <f>HYPERLINK("https://www.somogyi.hu/data/img/product_main_images/small/18169.jpg","https://www.somogyi.hu/data/img/product_main_images/small/18169.jpg")</f>
        <v>0.0</v>
      </c>
      <c r="F422" s="2" t="inlineStr">
        <is>
          <t>2221619100013</t>
        </is>
      </c>
      <c r="G422" s="4" t="inlineStr">
        <is>
          <t>A törhetetlen vizespohár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90 x 72 x 67 mm-es méretükkel és 67 g-os súlyukkal kényelmesen használhatóak mindenki számára. A szett 8 db poharat tartalmaz. Válassza a törhetetlen vizespohár szettünket, hogy élvezhesse kedvenc italát bárhol és bármikor, stressz nélkül!</t>
        </is>
      </c>
    </row>
    <row r="423">
      <c r="A423" s="3" t="inlineStr">
        <is>
          <t>PHR Mojito32-4</t>
        </is>
      </c>
      <c r="B423" s="2" t="inlineStr">
        <is>
          <t>Törhetetlen egyenes pohár</t>
        </is>
      </c>
      <c r="C423" s="1" t="n">
        <v>2190.0</v>
      </c>
      <c r="D423" s="7" t="n">
        <f>HYPERLINK("https://www.somogyi.hu/product/torhetetlen-egyenes-pohar-phr-mojito32-4-18168","https://www.somogyi.hu/product/torhetetlen-egyenes-pohar-phr-mojito32-4-18168")</f>
        <v>0.0</v>
      </c>
      <c r="E423" s="7" t="n">
        <f>HYPERLINK("https://www.somogyi.hu/data/img/product_main_images/small/18168.jpg","https://www.somogyi.hu/data/img/product_main_images/small/18168.jpg")</f>
        <v>0.0</v>
      </c>
      <c r="F423" s="2" t="inlineStr">
        <is>
          <t>2221619000016</t>
        </is>
      </c>
      <c r="G423" s="4" t="inlineStr">
        <is>
          <t>A törhetetlen egyenes 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143 x 67 x 55 mm-es méretükkel és 97 g-os súlyukkal kényelmesen használhatóak mindenki számára. A szett 4 db poharat tartalmaz. Válassza a törhetetlen egyenes pohár szettünket, hogy élvezhesse kedvenc italát bárhol és bármikor, stressz nélkül!</t>
        </is>
      </c>
    </row>
    <row r="424">
      <c r="A424" s="3" t="inlineStr">
        <is>
          <t>PHR Coffe34-4</t>
        </is>
      </c>
      <c r="B424" s="2" t="inlineStr">
        <is>
          <t>Törhetetlen kávéspohár szett</t>
        </is>
      </c>
      <c r="C424" s="1" t="n">
        <v>2790.0</v>
      </c>
      <c r="D424" s="7" t="n">
        <f>HYPERLINK("https://www.somogyi.hu/product/torhetetlen-kavespohar-szett-phr-coffe34-4-18175","https://www.somogyi.hu/product/torhetetlen-kavespohar-szett-phr-coffe34-4-18175")</f>
        <v>0.0</v>
      </c>
      <c r="E424" s="7" t="n">
        <f>HYPERLINK("https://www.somogyi.hu/data/img/product_main_images/small/18175.jpg","https://www.somogyi.hu/data/img/product_main_images/small/18175.jpg")</f>
        <v>0.0</v>
      </c>
      <c r="F424" s="2" t="inlineStr">
        <is>
          <t>2221619700015</t>
        </is>
      </c>
      <c r="G424" s="4" t="inlineStr">
        <is>
          <t>A törhetetlen kávéspohár szettünk ideális választás rendezvényekre, kávézókba, szórakozóhelyekre egyaránt. A műanyagból készült poharak könnyűek és kényelmesek, 34 cl-es űrtartalmukkal pedig tökéletes méretűek egy finom kávé számára. Mosogatógépben moshatóak és mikrohullámú sütőben is biztonságosan használhatóak. Ha személyessé szeretné tenni a poharakat, gravírozhatóak is. A 115 x 84 x 55 mm-es méretükkel és 112 g-os súlyukkal kényelmesen használhatóak mindenki számára. A szett 4 db poharat tartalmaz. Válassza a törhetetlen kávéspohár szettünket, hogy élvezhesse kedvenc italát bárhol és bármikor, stressz nélkül!</t>
        </is>
      </c>
    </row>
    <row r="425">
      <c r="A425" s="3" t="inlineStr">
        <is>
          <t>PHR Stoop4-8</t>
        </is>
      </c>
      <c r="B425" s="2" t="inlineStr">
        <is>
          <t>Törhetetlen felespohár</t>
        </is>
      </c>
      <c r="C425" s="1" t="n">
        <v>649.0</v>
      </c>
      <c r="D425" s="7" t="n">
        <f>HYPERLINK("https://www.somogyi.hu/product/torhetetlen-felespohar-phr-stoop4-8-18165","https://www.somogyi.hu/product/torhetetlen-felespohar-phr-stoop4-8-18165")</f>
        <v>0.0</v>
      </c>
      <c r="E425" s="7" t="n">
        <f>HYPERLINK("https://www.somogyi.hu/data/img/product_main_images/small/18165.jpg","https://www.somogyi.hu/data/img/product_main_images/small/18165.jpg")</f>
        <v>0.0</v>
      </c>
      <c r="F425" s="2" t="inlineStr">
        <is>
          <t>2221618700016</t>
        </is>
      </c>
      <c r="G425" s="4" t="inlineStr">
        <is>
          <t>A törhetetlen felespohár szettünk ideális választás rendezvényekre, szórakozóhelyekre egyaránt. A műanyagból készült poharak könnyűek és kényelmesek, 4 cl-es űrtartalmukkal pedig tökéletes méretűek az italok számára. Mosogatógépben moshatóak és mikrohullámú sütőben is biztonságosan használhatóak. Ha személyessé szeretné tenni a poharakat, gravírozhatóak is. A 70 x 44 x 32 mm-es méretükkel és 28 g-os súlyukkal kényelmesen használhatóak mindenki számára. A szett 8 db poharat tartalmaz. Válassza a törhetetlen felespohár szettünket, hogy élvezhesse kedvenc italát bárhol és bármikor, stressz nélkül!</t>
        </is>
      </c>
    </row>
    <row r="426">
      <c r="A426" s="3" t="inlineStr">
        <is>
          <t>PHR Tokaj38-4</t>
        </is>
      </c>
      <c r="B426" s="2" t="inlineStr">
        <is>
          <t>Törhetetlen talpas borospohár szett</t>
        </is>
      </c>
      <c r="C426" s="1" t="n">
        <v>3790.0</v>
      </c>
      <c r="D426" s="7" t="n">
        <f>HYPERLINK("https://www.somogyi.hu/product/torhetetlen-talpas-borospohar-szett-phr-tokaj38-4-18170","https://www.somogyi.hu/product/torhetetlen-talpas-borospohar-szett-phr-tokaj38-4-18170")</f>
        <v>0.0</v>
      </c>
      <c r="E426" s="7" t="n">
        <f>HYPERLINK("https://www.somogyi.hu/data/img/product_main_images/small/18170.jpg","https://www.somogyi.hu/data/img/product_main_images/small/18170.jpg")</f>
        <v>0.0</v>
      </c>
      <c r="F426" s="2" t="inlineStr">
        <is>
          <t>2221619200010</t>
        </is>
      </c>
      <c r="G426" s="4" t="inlineStr">
        <is>
          <t>A törhetetlen talpas borospohár szettünk ideális választás rendezvényekre, szórakozóhelyekre egyaránt. A műanyagból készült poharak könnyűek és kényelmesek, 38 cl-es űrtartalmukkal pedig tökéletes méretűek az italok számára. Mosogatógépben moshatóak és mikrohullámú sütőben is biztonságosan használhatóak. Ha személyessé szeretné tenni a poharakat, gravírozhatóak is. A 219 x 60 x 78 mm-es méretükkel és 28 g-os súlyukkal kényelmesen használhatóak mindenki számára. A szett 4 db poharat tartalmaz. Válassza a törhetetlen talpas borospohár szettünket, hogy élvezhesse kedvenc italát bárhol és bármikor, stressz nélkül!</t>
        </is>
      </c>
    </row>
    <row r="427">
      <c r="A427" s="3" t="inlineStr">
        <is>
          <t>PHR Reims17-6</t>
        </is>
      </c>
      <c r="B427" s="2" t="inlineStr">
        <is>
          <t>Törhetetlen pezsgőspohár</t>
        </is>
      </c>
      <c r="C427" s="1" t="n">
        <v>1690.0</v>
      </c>
      <c r="D427" s="7" t="n">
        <f>HYPERLINK("https://www.somogyi.hu/product/torhetetlen-pezsgospohar-phr-reims17-6-18171","https://www.somogyi.hu/product/torhetetlen-pezsgospohar-phr-reims17-6-18171")</f>
        <v>0.0</v>
      </c>
      <c r="E427" s="7" t="n">
        <f>HYPERLINK("https://www.somogyi.hu/data/img/product_main_images/small/18171.jpg","https://www.somogyi.hu/data/img/product_main_images/small/18171.jpg")</f>
        <v>0.0</v>
      </c>
      <c r="F427" s="2" t="inlineStr">
        <is>
          <t>2221619300017</t>
        </is>
      </c>
      <c r="G427" s="4" t="inlineStr">
        <is>
          <t>A törhetetlen pezsgőspohár szettünk ideális választás rendezvényekre, szórakozóhelyekre egyaránt. A műanyagból készült poharak könnyűek és kényelmesek, 17 cl-es űrtartalmukkal pedig tökéletes méretűek az italok számára. Mosogatógépben moshatóak és mikrohullámú sütőben is biztonságosan használhatóak. Ha személyessé szeretné tenni a poharakat, gravírozhatóak is. A 219 x 56 x 72 mm-es méretükkel és 75 g-os súlyukkal kényelmesen használhatóak mindenki számára. A szett 6 db poharat tartalmaz. Válassza a törhetetlen pezsgőspohár szettünket, hogy élvezhesse kedvenc italát bárhol és bármikor, stressz nélkül!</t>
        </is>
      </c>
    </row>
    <row r="428">
      <c r="A428" s="6" t="inlineStr">
        <is>
          <t xml:space="preserve">   Háztartási gép, eszköz / Elektromos vízmelegítő</t>
        </is>
      </c>
      <c r="B428" s="6" t="inlineStr">
        <is>
          <t/>
        </is>
      </c>
      <c r="C428" s="6" t="inlineStr">
        <is>
          <t/>
        </is>
      </c>
      <c r="D428" s="6" t="inlineStr">
        <is>
          <t/>
        </is>
      </c>
      <c r="E428" s="6" t="inlineStr">
        <is>
          <t/>
        </is>
      </c>
      <c r="F428" s="6" t="inlineStr">
        <is>
          <t/>
        </is>
      </c>
      <c r="G428" s="6" t="inlineStr">
        <is>
          <t/>
        </is>
      </c>
    </row>
    <row r="429">
      <c r="A429" s="3" t="inlineStr">
        <is>
          <t>D100-20ED6</t>
        </is>
      </c>
      <c r="B429" s="2" t="inlineStr">
        <is>
          <t>MIDEA SMART elektromos vízmelegítő, bojler</t>
        </is>
      </c>
      <c r="C429" s="1" t="n">
        <v>132990.0</v>
      </c>
      <c r="D429" s="7" t="n">
        <f>HYPERLINK("https://www.somogyi.hu/product/midea-smart-elektromos-vizmelegito-bojler-d100-20ed6-18219","https://www.somogyi.hu/product/midea-smart-elektromos-vizmelegito-bojler-d100-20ed6-18219")</f>
        <v>0.0</v>
      </c>
      <c r="E429" s="7" t="n">
        <f>HYPERLINK("https://www.somogyi.hu/data/img/product_main_images/small/18219.jpg","https://www.somogyi.hu/data/img/product_main_images/small/18219.jpg")</f>
        <v>0.0</v>
      </c>
      <c r="F429" s="2" t="inlineStr">
        <is>
          <t>6939962586786</t>
        </is>
      </c>
      <c r="G429" s="4" t="inlineStr">
        <is>
          <t>Ugye kényelmes lenne, ha otthona melegvíz-ellátását akár távolról is szabályozhatná? A MIDEA D100-20ED6 smart elektromos vízmelegítő, nem csak ezt a modern kényelmet kínálja, hanem energiatakarékos működésével és intelligens funkcióival is kiemelkedik. 
2000 wattos teljesítményével és 93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1087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D100-20ED6 smart elektromos bojler segítségével új szintre emelje otthona kényelmét és energiagazdálkodását!</t>
        </is>
      </c>
    </row>
    <row r="430">
      <c r="A430" s="3" t="inlineStr">
        <is>
          <t>D100-15FG</t>
        </is>
      </c>
      <c r="B430" s="2" t="inlineStr">
        <is>
          <t>MIDEA elektromos vízmelegítő, bojler</t>
        </is>
      </c>
      <c r="C430" s="1" t="n">
        <v>79690.0</v>
      </c>
      <c r="D430" s="7" t="n">
        <f>HYPERLINK("https://www.somogyi.hu/product/midea-elektromos-vizmelegito-bojler-d100-15fg-18216","https://www.somogyi.hu/product/midea-elektromos-vizmelegito-bojler-d100-15fg-18216")</f>
        <v>0.0</v>
      </c>
      <c r="E430" s="7" t="n">
        <f>HYPERLINK("https://www.somogyi.hu/data/img/product_main_images/small/18216.jpg","https://www.somogyi.hu/data/img/product_main_images/small/18216.jpg")</f>
        <v>0.0</v>
      </c>
      <c r="F430" s="2" t="inlineStr">
        <is>
          <t>6939962591841</t>
        </is>
      </c>
      <c r="G430" s="4" t="inlineStr">
        <is>
          <t>Gondolt már arra, milyen praktikus lenne egy megbízható és könnyen kezelhető vízmelegítő, ami nem zavarja összetett digitális vezérlőpanelekkel? A Midea D100-15FG elektromos bojler pont ilyen: egyszerű, mégis hatékony megoldást kínál a mindennapi komfort érdekében, 1500 wattos teljesítményével és 100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977 mm, energiahatékonysági osztálya pedig C, ami kedvező működési költségeket eredményezhet. 
Ne hagyja ki az egyszerűség és megbízhatóság tökéletes kombinációját! A Midea D100-15FG vízmelegítővel nem csupán energiát takaríthat meg, de a fürdőszobája is átláthatóbb, rendezettebb lesz. Válassza az egyszerű, mégis hatékony megoldásokat!</t>
        </is>
      </c>
    </row>
    <row r="431">
      <c r="A431" s="3" t="inlineStr">
        <is>
          <t>D80-15FG</t>
        </is>
      </c>
      <c r="B431" s="2" t="inlineStr">
        <is>
          <t>MIDEA elektromos vízmelegítő, bojler</t>
        </is>
      </c>
      <c r="C431" s="1" t="n">
        <v>70590.0</v>
      </c>
      <c r="D431" s="7" t="n">
        <f>HYPERLINK("https://www.somogyi.hu/product/midea-elektromos-vizmelegito-bojler-d80-15fg-18215","https://www.somogyi.hu/product/midea-elektromos-vizmelegito-bojler-d80-15fg-18215")</f>
        <v>0.0</v>
      </c>
      <c r="E431" s="7" t="n">
        <f>HYPERLINK("https://www.somogyi.hu/data/img/product_main_images/small/18215.jpg","https://www.somogyi.hu/data/img/product_main_images/small/18215.jpg")</f>
        <v>0.0</v>
      </c>
      <c r="F431" s="2" t="inlineStr">
        <is>
          <t>6939962591834</t>
        </is>
      </c>
      <c r="G431" s="4" t="inlineStr">
        <is>
          <t>Gondolt már arra, milyen praktikus lenne egy megbízható és könnyen kezelhető vízmelegítő, ami nem zavarja összetett digitális vezérlőpanelekkel? A Midea D80-15FG elektromos bojler pont ilyen: egyszerű, mégis hatékony megoldást kínál a mindennapi komfort érdekében, 1500 wattos teljesítményével és 80 literes kapacitásával.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812 mm, energiahatékonysági osztálya pedig C, ami kedvező működési költségeket eredményezhet. 
Ne hagyja ki az egyszerűség és megbízhatóság tökéletes kombinációját! A Midea D80-15FG vízmelegítővel nem csupán energiát takaríthat meg, de a fürdőszobája is átláthatóbb, rendezettebb lesz. Válassza az egyszerű, mégis hatékony megoldásokat!</t>
        </is>
      </c>
    </row>
    <row r="432">
      <c r="A432" s="3" t="inlineStr">
        <is>
          <t>D50-15FG</t>
        </is>
      </c>
      <c r="B432" s="2" t="inlineStr">
        <is>
          <t>MIDEA elektromos vízmelegítő, bojler</t>
        </is>
      </c>
      <c r="C432" s="1" t="n">
        <v>57890.0</v>
      </c>
      <c r="D432" s="7" t="n">
        <f>HYPERLINK("https://www.somogyi.hu/product/midea-elektromos-vizmelegito-bojler-d50-15fg-18214","https://www.somogyi.hu/product/midea-elektromos-vizmelegito-bojler-d50-15fg-18214")</f>
        <v>0.0</v>
      </c>
      <c r="E432" s="7" t="n">
        <f>HYPERLINK("https://www.somogyi.hu/data/img/product_main_images/small/18214.jpg","https://www.somogyi.hu/data/img/product_main_images/small/18214.jpg")</f>
        <v>0.0</v>
      </c>
      <c r="F432" s="2" t="inlineStr">
        <is>
          <t>6939962591827</t>
        </is>
      </c>
      <c r="G432" s="4" t="inlineStr">
        <is>
          <t>Gondolt már arra, milyen praktikus lenne egy megbízható és könnyen kezelhető vízmelegítő, ami nem zavarja összetett digitális vezérlőpanelekkel? A Midea D50-15FG elektromos bojler pont ilyen: egyszerű, mégis hatékony megoldást kínál a mindennapi komfort érdekében, 1500 wattos teljesítményével és 50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∅18 x 110 mm, védelmet nyújt a víztartály számára a korrózióval szemben. 
A készülék méretei ∅385 x 755 mm, energiahatékonysági osztálya pedig C, ami kedvező működési költségeket eredményezhet. 
Ne hagyja ki az egyszerűség és megbízhatóság tökéletes kombinációját! A Midea D50-15FG vízmelegítővel nem csupán energiát takaríthat meg, de a fürdőszobája is átláthatóbb, rendezettebb lesz. Válassza az egyszerű, mégis hatékony megoldásokat!</t>
        </is>
      </c>
    </row>
    <row r="433">
      <c r="A433" s="3" t="inlineStr">
        <is>
          <t>D80-20ED6</t>
        </is>
      </c>
      <c r="B433" s="2" t="inlineStr">
        <is>
          <t>MIDEA SMART elektromos vízmelegítő, bojler</t>
        </is>
      </c>
      <c r="C433" s="1" t="n">
        <v>118990.0</v>
      </c>
      <c r="D433" s="7" t="n">
        <f>HYPERLINK("https://www.somogyi.hu/product/midea-smart-elektromos-vizmelegito-bojler-d80-20ed6-18218","https://www.somogyi.hu/product/midea-smart-elektromos-vizmelegito-bojler-d80-20ed6-18218")</f>
        <v>0.0</v>
      </c>
      <c r="E433" s="7" t="n">
        <f>HYPERLINK("https://www.somogyi.hu/data/img/product_main_images/small/18218.jpg","https://www.somogyi.hu/data/img/product_main_images/small/18218.jpg")</f>
        <v>0.0</v>
      </c>
      <c r="F433" s="2" t="inlineStr">
        <is>
          <t>6939962586779</t>
        </is>
      </c>
      <c r="G433" s="4" t="inlineStr">
        <is>
          <t>Ugye kényelmes lenne, ha otthona melegvíz-ellátását akár távolról is szabályozhatná? A MIDEA D80-20ED6 smart elektromos vízmelegítő, nem csak ezt a modern kényelmet kínálja, hanem energiatakarékos működésével és intelligens funkcióival is kiemelkedik. 
2000 wattos teljesítményével és 74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902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D80-20ED6 smart elektromos bojler segítségével új szintre emelje otthona kényelmét és energiagazdálkodását!</t>
        </is>
      </c>
    </row>
    <row r="434">
      <c r="A434" s="3" t="inlineStr">
        <is>
          <t>D10-20VD1(O)</t>
        </is>
      </c>
      <c r="B434" s="2" t="inlineStr">
        <is>
          <t>MIDEA elektromos vízmelegítő, bojler</t>
        </is>
      </c>
      <c r="C434" s="1" t="n">
        <v>36790.0</v>
      </c>
      <c r="D434" s="7" t="n">
        <f>HYPERLINK("https://www.somogyi.hu/product/midea-elektromos-vizmelegito-bojler-d10-20vd1-o-18209","https://www.somogyi.hu/product/midea-elektromos-vizmelegito-bojler-d10-20vd1-o-18209")</f>
        <v>0.0</v>
      </c>
      <c r="E434" s="7" t="n">
        <f>HYPERLINK("https://www.somogyi.hu/data/img/product_main_images/small/18209.jpg","https://www.somogyi.hu/data/img/product_main_images/small/18209.jpg")</f>
        <v>0.0</v>
      </c>
      <c r="F434" s="2" t="inlineStr">
        <is>
          <t>6939962591773</t>
        </is>
      </c>
      <c r="G434" s="4" t="inlineStr">
        <is>
          <t>Szembesült már azzal a problémával, hogy túl sok időt kell várnia a meleg vízre, különösen a konyhában? A Midea D10-20VD1(O) elektromos vízmelegítő megoldást nyújt erre a problémára, és tökéletes választás lehet bármely modern háztartás számára, különös tekintettel kompakt méretére és 10 literes űrtartalmára. 
Ezt a vízmelegítőt közvetlenül a konyhapult fölé szerelheti, így helyet takaríthat meg, miközben gyorsan biztosíthat melegvizet. 
Az IPX4 vízállósági osztályú készülék függőlegesen szerelhető a falra, így csekély helyet foglal el. 
A tekerőgombos mechanikus vezérlés könnyű kezelhetőséget garantál, míg a zománcozott víztartály és fűtőszál hosszú távú ellenálló képességet biztosít a rozsda és a lerakódások ellen. 
A kapilláris termosztáttal precízen állíthatja be a hőmérsékletet a 30-75°C tartományban. 
A földelt csatlakozódugónak és a 100 cm hosszú tápkábelnek köszönhetően a telepítés egyszerű és biztonságos. 
A magnézium anód, melynek méretei ∅18x110 mm, extra védelmet nyújt a korrózió ellen. 
A termék méretei 324x324x300 mm, energiahatékonysági osztálya pedig A, így a készülék nemcsak helytakarékos, de energiatakarékos is. 
Ne hagyja figyelmen kívül a konyhai kényelem új szintjét! A Midea D10-20VD1(O) elektromos vízmelegítővel azonnal hozzájuthat a meleg vízhez, miközben energiát és helyet is megtakarít. Tegye hatékonyabbá és kényelmesebbé otthonát még ma!</t>
        </is>
      </c>
    </row>
    <row r="435">
      <c r="A435" s="3" t="inlineStr">
        <is>
          <t>D10-20VD1(U)</t>
        </is>
      </c>
      <c r="B435" s="2" t="inlineStr">
        <is>
          <t>MIDEA elektromos vízmelegítő, bojler</t>
        </is>
      </c>
      <c r="C435" s="1" t="n">
        <v>36790.0</v>
      </c>
      <c r="D435" s="7" t="n">
        <f>HYPERLINK("https://www.somogyi.hu/product/midea-elektromos-vizmelegito-bojler-d10-20vd1-u-18208","https://www.somogyi.hu/product/midea-elektromos-vizmelegito-bojler-d10-20vd1-u-18208")</f>
        <v>0.0</v>
      </c>
      <c r="E435" s="7" t="n">
        <f>HYPERLINK("https://www.somogyi.hu/data/img/product_main_images/small/18208.jpg","https://www.somogyi.hu/data/img/product_main_images/small/18208.jpg")</f>
        <v>0.0</v>
      </c>
      <c r="F435" s="2" t="inlineStr">
        <is>
          <t>6939962591766</t>
        </is>
      </c>
      <c r="G435" s="4" t="inlineStr">
        <is>
          <t>Unja már, hogy mindig várnia kell a meleg vízre, miközben fontosabb dolgokkal is foglalkozhatna? A Midea D10-20VD1(U) elektromos vízmelegítő forradalmi megoldást kínál: többé nem kell várakoznia, ráadásul energiát is megtakaríthat! 
A 2000 wattos teljesítmény gyors vízmelegítést tesz lehetővé, míg a 10 literes névleges űrtartalom biztosíthatja, hogy elegendő meleg víz álljon rendelkezésre. 
A készülék konyhapult alá szerelhető kivitelének köszönhetően nem vesz el értékes helyet, ugyanakkor az IPX4 vízállósági fokozatnak köszönhetően biztonságosan használható. 
A tekerőgombos mechanikus vezérlés lehetővé teszi a könnyű hőmérséklet-beállítást a 30-75°C tartományban, az optimális komfort érdekében. 
A zománcozott víztartály és fűtőszál hosszú élettartamot biztosít, a magnézium anód pedig védelmet nyújt a vízkőlerakódás és a korrózió ellen, mérete pedig ∅18x110mm. 
A földelt csatlakozódugó és a 100 cm hosszú tápkábel még nagyobb biztonságot nyújt. 
Mindezek mellett a készülék méretei mindössze 324x324x300 mm, tehát igazán helytakarékos megoldást kínál. 
Az A energiahatékonysági osztályba tartozó Midea D10-20VD1(U) nem csupán a komfortérzetét növeli, de segít a környezet védelmében is, hiszen kevesebb energiát fogyaszt, csökkentve ezzel a rezsi költségeit. 
Ne tegye próbára a türelmét felesleges várakozással! Válassza a Midea D10-20VD1(U) elektromos vízmelegítőt, és élvezze a zavartalan melegvíz-ellátást, valamint az alacsonyabb energiaszámlát már ma!</t>
        </is>
      </c>
    </row>
    <row r="436">
      <c r="A436" s="6" t="inlineStr">
        <is>
          <t xml:space="preserve">   Háztartási gép, eszköz / Konyhai kellékek</t>
        </is>
      </c>
      <c r="B436" s="6" t="inlineStr">
        <is>
          <t/>
        </is>
      </c>
      <c r="C436" s="6" t="inlineStr">
        <is>
          <t/>
        </is>
      </c>
      <c r="D436" s="6" t="inlineStr">
        <is>
          <t/>
        </is>
      </c>
      <c r="E436" s="6" t="inlineStr">
        <is>
          <t/>
        </is>
      </c>
      <c r="F436" s="6" t="inlineStr">
        <is>
          <t/>
        </is>
      </c>
      <c r="G436" s="6" t="inlineStr">
        <is>
          <t/>
        </is>
      </c>
    </row>
    <row r="437">
      <c r="A437" s="3" t="inlineStr">
        <is>
          <t>10-111-050</t>
        </is>
      </c>
      <c r="B437" s="2" t="inlineStr">
        <is>
          <t>Nava 10-111-050 Misty szilikon jégkockakészítő, 15 kocka elkészítéséhez</t>
        </is>
      </c>
      <c r="C437" s="1" t="n">
        <v>1990.0</v>
      </c>
      <c r="D437" s="7" t="n">
        <f>HYPERLINK("https://www.somogyi.hu/product/nava-10-111-050-misty-szilikon-jegkockakeszito-15-kocka-elkeszitesehez-10-111-050-18662","https://www.somogyi.hu/product/nava-10-111-050-misty-szilikon-jegkockakeszito-15-kocka-elkeszitesehez-10-111-050-18662")</f>
        <v>0.0</v>
      </c>
      <c r="E437" s="7" t="n">
        <f>HYPERLINK("https://www.somogyi.hu/data/img/product_main_images/small/18662.jpg","https://www.somogyi.hu/data/img/product_main_images/small/18662.jpg")</f>
        <v>0.0</v>
      </c>
      <c r="F437" s="2" t="inlineStr">
        <is>
          <t>5205746889314</t>
        </is>
      </c>
      <c r="G437" s="4" t="inlineStr">
        <is>
          <t>Szeretne könnyedén tökéletes jégkockákat készíteni otthonában? A Nava 10-111-050 Misty szilikon jégkockakészítővel mostantól egyszerűen elkészítheti a tökéletes méretű jégkockákat, amelyekkel frissítheti italait.
Ez a 15 cellás jégkockatálca tartós szilikonból készült, ami garantálja a hosszú élettartamot és az egyszerű használatot. A magas minőségű, lágy, rugalmas szilikon anyaga élelmiszerekkel való érintkezésre is alkalmas, így biztonságosan használható. A cellák mérete 3.2x3.2 cm, kapacitás: 25 ml, ami ideális méret a tökéletes jégkockákhoz.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Készítsen tökéletes jégkockákat a Nava Misty szilikon jégkockakészítővel, és tegye italait még frissítőbbé!</t>
        </is>
      </c>
    </row>
    <row r="438">
      <c r="A438" s="3" t="inlineStr">
        <is>
          <t>10-111-075</t>
        </is>
      </c>
      <c r="B438" s="2" t="inlineStr">
        <is>
          <t>Nava 10-111-075 Misty tölthető szilikon ecset, 11,5 cm</t>
        </is>
      </c>
      <c r="C438" s="1" t="n">
        <v>1490.0</v>
      </c>
      <c r="D438" s="7" t="n">
        <f>HYPERLINK("https://www.somogyi.hu/product/nava-10-111-075-misty-toltheto-szilikon-ecset-11-5-cm-10-111-075-18663","https://www.somogyi.hu/product/nava-10-111-075-misty-toltheto-szilikon-ecset-11-5-cm-10-111-075-18663")</f>
        <v>0.0</v>
      </c>
      <c r="E438" s="7" t="n">
        <f>HYPERLINK("https://www.somogyi.hu/data/img/product_main_images/small/18663.jpg","https://www.somogyi.hu/data/img/product_main_images/small/18663.jpg")</f>
        <v>0.0</v>
      </c>
      <c r="F438" s="2" t="inlineStr">
        <is>
          <t>5205746906349</t>
        </is>
      </c>
      <c r="G438" s="4" t="inlineStr">
        <is>
          <t>Keresi a tökéletes megoldást az ételek egyszerű és tiszta olajozására? A Nava által kínált 10-111-075 Misty tölthető szilikon ecset az innovatív konyhai eszköz, amely megkönnyíti a sütési és sütési folyamatokat. 
Ez az ecset levehető olajtartállyal rendelkezik, ami lehetővé teszi, hogy az edényeket, grilleket vagy ételeket rendkívül tisztán és egyszerűen kenje meg olajjal, anélkül, hogy további eszközöket kellene használnia. Kiváló minőségű, puha szilikonból készült, amely élelmiszerekkel való érintkezésre alkalmas. Könnyen tisztítható, az ecset feje levehető, és a tartály rendkívül rugalmas szilikonjának köszönhetően könnyen összehajtható és elfordítható. Rozsdamentes acél edényekhez ugyanúgy megfelel, mint a tapadásmentes bevonatú főzőedényekhez, mivel nem karcolja vagy károsítja a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válik az olajozás a Nava Misty tölthető szilikon ecsettel!</t>
        </is>
      </c>
    </row>
    <row r="439">
      <c r="A439" s="3" t="inlineStr">
        <is>
          <t>10-107-001</t>
        </is>
      </c>
      <c r="B439" s="2" t="inlineStr">
        <is>
          <t>Nava 10-107-001 Terrestrial bambusz vágódeszka, 40x25,5 cm</t>
        </is>
      </c>
      <c r="C439" s="1" t="n">
        <v>2691.0</v>
      </c>
      <c r="D439" s="7" t="n">
        <f>HYPERLINK("https://www.somogyi.hu/product/nava-10-107-001-terrestrial-bambusz-vagodeszka-40x25-5-cm-10-107-001-18666","https://www.somogyi.hu/product/nava-10-107-001-terrestrial-bambusz-vagodeszka-40x25-5-cm-10-107-001-18666")</f>
        <v>0.0</v>
      </c>
      <c r="E439" s="7" t="n">
        <f>HYPERLINK("https://www.somogyi.hu/data/img/product_main_images/small/18666.jpg","https://www.somogyi.hu/data/img/product_main_images/small/18666.jpg")</f>
        <v>0.0</v>
      </c>
      <c r="F439" s="2" t="inlineStr">
        <is>
          <t>5205746888157</t>
        </is>
      </c>
      <c r="G439" s="4" t="inlineStr">
        <is>
          <t>Egy multifunkcionális konyhai eszközt keres, ami nem csak praktikus, de a konyhája díszévé is válhat? A Nava 10-107-001 Terrestrial bambusz vágódeszka nemcsak megkönnyíti a mindennapi előkészületeket a konyhában, de különleges alkalmakkor elegáns tálalódeszkaként is funkcionálhat. 
A 100%-ban környezetbarát, élelmiszerrel érintkezésre alkalmas magas minőségű bambuszból készült vágódeszka ergonomikus tervezésű, beleértve a praktikus oldalsó fogantyút is, amely megkönnyíti az akasztást és tárolást. A Terrestrial konyhai eszközökkel a minimalista, földközeli esztétika kedvelői is megtalálhatják a számításaikat. A modern konyhai igényeket szem előtt tartó funkcionalitás és egyszerűség jegyében készült ez a sorozat, amely minden ételkészítési és tálalási szükségletet kielégít.
Néhány tipp, hogy sokáig használhassa a terméket:
* Az első használat előtt alaposan mossa el langyos, szappanos vízzel, majd szárítsa meg.
* Minden használat után tisztítsa meg és szárítsa meg alaposan.
* Kerülje a fémszivacsok és erős tisztítószerek használatát.
* Különböző ételekhez használjon külön vágódeszkákat a keresztszennyeződés elkerülése végett.
* A magas hőmérséklet, víz és páratartalom repedéseket okozhat.
* Ne áztassa vízben a terméket.
* A hosszabb élettartam érdekében kezelje a felületét főzőolajjal használat előtt, és kézzel mosogassa langyos, enyhe szappanos vízzel minden használat után.
* Csak teljesen száraz állapotban tárolja.
* Ha érdességet vagy lepattogzást észlel, simítsa le finom csiszolópapírral, majd olajozza be.
A Nava Terrestrial bambusz vágódeszka tökéletes választás azok számára, akik értékelik a természetes anyagokat, a funkcionalitást és a stílust a konyhában.</t>
        </is>
      </c>
    </row>
    <row r="440">
      <c r="A440" s="3" t="inlineStr">
        <is>
          <t>10-111-006</t>
        </is>
      </c>
      <c r="B440" s="2" t="inlineStr">
        <is>
          <t>Nava 10-111-006 Misty szűrőkanál, 35 cm</t>
        </is>
      </c>
      <c r="C440" s="1" t="n">
        <v>1490.0</v>
      </c>
      <c r="D440" s="7" t="n">
        <f>HYPERLINK("https://www.somogyi.hu/product/nava-10-111-006-misty-szurokanal-35-cm-10-111-006-18643","https://www.somogyi.hu/product/nava-10-111-006-misty-szurokanal-35-cm-10-111-006-18643")</f>
        <v>0.0</v>
      </c>
      <c r="E440" s="7" t="n">
        <f>HYPERLINK("https://www.somogyi.hu/data/img/product_main_images/small/18643.jpg","https://www.somogyi.hu/data/img/product_main_images/small/18643.jpg")</f>
        <v>0.0</v>
      </c>
      <c r="F440" s="2" t="inlineStr">
        <is>
          <t>5205746889048</t>
        </is>
      </c>
      <c r="G440" s="4" t="inlineStr">
        <is>
          <t>Egy univerzális megoldást keres a főzés közben keletkező hab eltávolítására, vagy étel kiszedésére? A Nava Misty 10-111-006 széles szűrőkanál gyorsan és hatékonyan válik elválaszthatatlan segítőtársává a konyhában. Legyen szó hab eltávolításáról főzés vagy házi lekvárkészítés során, vagy éppen étel kiszedéséről forró olajból vagy vízből, ez a szűrőkanál tökéletes választás.
A Misty szűrőkanalat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szűrőkanállal!</t>
        </is>
      </c>
    </row>
    <row r="441">
      <c r="A441" s="3" t="inlineStr">
        <is>
          <t>10-111-012</t>
        </is>
      </c>
      <c r="B441" s="2" t="inlineStr">
        <is>
          <t>Nava 10-111-012 Misty tésztakiszedő kanál, fusilli, 35 cm</t>
        </is>
      </c>
      <c r="C441" s="1" t="n">
        <v>1990.0</v>
      </c>
      <c r="D441" s="7" t="n">
        <f>HYPERLINK("https://www.somogyi.hu/product/nava-10-111-012-misty-tesztakiszedo-kanal-fusilli-35-cm-10-111-012-18647","https://www.somogyi.hu/product/nava-10-111-012-misty-tesztakiszedo-kanal-fusilli-35-cm-10-111-012-18647")</f>
        <v>0.0</v>
      </c>
      <c r="E441" s="7" t="n">
        <f>HYPERLINK("https://www.somogyi.hu/data/img/product_main_images/small/18647.jpg","https://www.somogyi.hu/data/img/product_main_images/small/18647.jpg")</f>
        <v>0.0</v>
      </c>
      <c r="F441" s="2" t="inlineStr">
        <is>
          <t>5205746889185</t>
        </is>
      </c>
      <c r="G441" s="4" t="inlineStr">
        <is>
          <t>Egy egyszerű módját keresi a tészta és zöldségek gyors és könnyű szervírozására forró vízből közvetlenül a tányérra? A Nava 10-111-012 Misty tésztakiszedő kanál az Ön tökéletes segítője lesz a konyhában.
A Nava Misty tésztakiszedő kanál ideális eszköz a tészta, zöldségek és egyéb forró vízben főzött ételek lecsöpögtetésére és tálalására, közvetlenül a fazékból a tányérra, minden további konyhai eszköz nélkül. Emellett lehetővé teszi a főzővíz azonnali újrahasznosítását más célokra. Nagy kapacitásának köszönhetően egyetlen mozdulattal elegendő mennyiségű ételt tud átmozgatni.
A Misty tésztakiszedő 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Felejtse el a bonyolult tészta lecsöpögtetési módszereket és válassza a Nava Misty tésztakiszedő kanalat a hatékony és stílusos konyhai megoldásért.</t>
        </is>
      </c>
    </row>
    <row r="442">
      <c r="A442" s="3" t="inlineStr">
        <is>
          <t>10-111-031</t>
        </is>
      </c>
      <c r="B442" s="2" t="inlineStr">
        <is>
          <t>Nava 10-111-031 Misty tálalókanál, 34 cm</t>
        </is>
      </c>
      <c r="C442" s="1" t="n">
        <v>1490.0</v>
      </c>
      <c r="D442" s="7" t="n">
        <f>HYPERLINK("https://www.somogyi.hu/product/nava-10-111-031-misty-talalokanal-34-cm-10-111-031-18642","https://www.somogyi.hu/product/nava-10-111-031-misty-talalokanal-34-cm-10-111-031-18642")</f>
        <v>0.0</v>
      </c>
      <c r="E442" s="7" t="n">
        <f>HYPERLINK("https://www.somogyi.hu/data/img/product_main_images/small/18642.jpg","https://www.somogyi.hu/data/img/product_main_images/small/18642.jpg")</f>
        <v>0.0</v>
      </c>
      <c r="F442" s="2" t="inlineStr">
        <is>
          <t>5205746889062</t>
        </is>
      </c>
      <c r="G442" s="4" t="inlineStr">
        <is>
          <t>Kíváncsi, hogyan teheti a főzési és tálalási folyamatot egyszerűbbé és praktikusabbá? A Nava 10-111-031 Misty tálalókanál az Ön új segítőtársa lesz a konyhában, amellyel keverhet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43">
      <c r="A443" s="3" t="inlineStr">
        <is>
          <t>10-111-005</t>
        </is>
      </c>
      <c r="B443" s="2" t="inlineStr">
        <is>
          <t>Nava 10-111-005 Misty szűrős tálalókanál, 34 cm</t>
        </is>
      </c>
      <c r="C443" s="1" t="n">
        <v>1490.0</v>
      </c>
      <c r="D443" s="7" t="n">
        <f>HYPERLINK("https://www.somogyi.hu/product/nava-10-111-005-misty-szuros-talalokanal-34-cm-10-111-005-18641","https://www.somogyi.hu/product/nava-10-111-005-misty-szuros-talalokanal-34-cm-10-111-005-18641")</f>
        <v>0.0</v>
      </c>
      <c r="E443" s="7" t="n">
        <f>HYPERLINK("https://www.somogyi.hu/data/img/product_main_images/small/18641.jpg","https://www.somogyi.hu/data/img/product_main_images/small/18641.jpg")</f>
        <v>0.0</v>
      </c>
      <c r="F443" s="2" t="inlineStr">
        <is>
          <t>5205746889017</t>
        </is>
      </c>
      <c r="G443" s="4" t="inlineStr">
        <is>
          <t>Kíváncsi, hogyan teheti a főzési és tálalási folyamatot egyszerűbbé és praktikusabbá? A Nava 10-111-005 Misty tálalókanál az Ön új segítőtársa lesz a konyhában, amellyel keverhet, lecsöpögtethet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kanál felületében lévő nyílások lehetővé teszik az étel lecsöpögtetését.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44">
      <c r="A444" s="3" t="inlineStr">
        <is>
          <t>10-111-015</t>
        </is>
      </c>
      <c r="B444" s="2" t="inlineStr">
        <is>
          <t>Nava 10-111-015 Misty szilikon ételfogó, húsokhoz, zöldségekhez, 23 cm</t>
        </is>
      </c>
      <c r="C444" s="1" t="n">
        <v>2490.0</v>
      </c>
      <c r="D444" s="7" t="n">
        <f>HYPERLINK("https://www.somogyi.hu/product/nava-10-111-015-misty-szilikon-etelfogo-husokhoz-zoldsegekhez-23-cm-10-111-015-18648","https://www.somogyi.hu/product/nava-10-111-015-misty-szilikon-etelfogo-husokhoz-zoldsegekhez-23-cm-10-111-015-18648")</f>
        <v>0.0</v>
      </c>
      <c r="E444" s="7" t="n">
        <f>HYPERLINK("https://www.somogyi.hu/data/img/product_main_images/small/18648.jpg","https://www.somogyi.hu/data/img/product_main_images/small/18648.jpg")</f>
        <v>0.0</v>
      </c>
      <c r="F444" s="2" t="inlineStr">
        <is>
          <t>5205746889253</t>
        </is>
      </c>
      <c r="G444" s="4" t="inlineStr">
        <is>
          <t>Egy sokoldalú konyhai eszközt keres, amely segít a húsok, zöldségek könnyed és biztonságos megfordításában a sütőben vagy serpenyőben? A Nava Misty szilikon ételfogó az Ön tökéletes segítője lesz minden főzési folyamatban.
Ez a kiváló minőségű, élelmiszerrel érintkezésre alkalmas szilikonfejjel rendelkező ételfogó (hossza 23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45">
      <c r="A445" s="3" t="inlineStr">
        <is>
          <t>10-111-004</t>
        </is>
      </c>
      <c r="B445" s="2" t="inlineStr">
        <is>
          <t>Nava 10-111-004 Misty tálaló lapát, 35 cm</t>
        </is>
      </c>
      <c r="C445" s="1" t="n">
        <v>1490.0</v>
      </c>
      <c r="D445" s="7" t="n">
        <f>HYPERLINK("https://www.somogyi.hu/product/nava-10-111-004-misty-talalo-lapat-35-cm-10-111-004-18640","https://www.somogyi.hu/product/nava-10-111-004-misty-talalo-lapat-35-cm-10-111-004-18640")</f>
        <v>0.0</v>
      </c>
      <c r="E445" s="7" t="n">
        <f>HYPERLINK("https://www.somogyi.hu/data/img/product_main_images/small/18640.jpg","https://www.somogyi.hu/data/img/product_main_images/small/18640.jpg")</f>
        <v>0.0</v>
      </c>
      <c r="F445" s="2" t="inlineStr">
        <is>
          <t>5205746889024</t>
        </is>
      </c>
      <c r="G445" s="4" t="inlineStr">
        <is>
          <t>Egy mindentudó segítőt a konyhába, ami minden fordulatra képes? A Nava 10-111-004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46">
      <c r="A446" s="3" t="inlineStr">
        <is>
          <t>10-111-016</t>
        </is>
      </c>
      <c r="B446" s="2" t="inlineStr">
        <is>
          <t>Nava 10-111-016 Misty szilikon ételfogó, húsokhoz, köretekhez, 26 cm</t>
        </is>
      </c>
      <c r="C446" s="1" t="n">
        <v>2490.0</v>
      </c>
      <c r="D446" s="7" t="n">
        <f>HYPERLINK("https://www.somogyi.hu/product/nava-10-111-016-misty-szilikon-etelfogo-husokhoz-koretekhez-26-cm-10-111-016-18649","https://www.somogyi.hu/product/nava-10-111-016-misty-szilikon-etelfogo-husokhoz-koretekhez-26-cm-10-111-016-18649")</f>
        <v>0.0</v>
      </c>
      <c r="E446" s="7" t="n">
        <f>HYPERLINK("https://www.somogyi.hu/data/img/product_main_images/small/18649.jpg","https://www.somogyi.hu/data/img/product_main_images/small/18649.jpg")</f>
        <v>0.0</v>
      </c>
      <c r="F446" s="2" t="inlineStr">
        <is>
          <t>5205746889420</t>
        </is>
      </c>
      <c r="G446" s="4" t="inlineStr">
        <is>
          <t>Egy sokoldalú konyhai eszközt keres, amely segít a húsok, zöldségek könnyed és biztonságos megfordításában a sütőben vagy serpenyőben? A Nava 10-111-016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47">
      <c r="A447" s="3" t="inlineStr">
        <is>
          <t>10-111-003</t>
        </is>
      </c>
      <c r="B447" s="2" t="inlineStr">
        <is>
          <t>Nava 10-111-003 Misty húsvilla, 35 cm</t>
        </is>
      </c>
      <c r="C447" s="1" t="n">
        <v>1341.0</v>
      </c>
      <c r="D447" s="7" t="n">
        <f>HYPERLINK("https://www.somogyi.hu/product/nava-10-111-003-misty-husvilla-35-cm-10-111-003-18639","https://www.somogyi.hu/product/nava-10-111-003-misty-husvilla-35-cm-10-111-003-18639")</f>
        <v>0.0</v>
      </c>
      <c r="E447" s="7" t="n">
        <f>HYPERLINK("https://www.somogyi.hu/data/img/product_main_images/small/18639.jpg","https://www.somogyi.hu/data/img/product_main_images/small/18639.jpg")</f>
        <v>0.0</v>
      </c>
      <c r="F447" s="2" t="inlineStr">
        <is>
          <t>5205746889161</t>
        </is>
      </c>
      <c r="G447" s="4" t="inlineStr">
        <is>
          <t>Képzelje el, hogy milyen könnyű lenne a húsok sütése, ha lenne egy megbízható segítője a konyhában? A Nava 10-111-003 Misty húsvillával javíthatja a húsok elkészítésének teljes folyamatát.
A Misty húsvillát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könnyebb és biztonságosabb a hússütés a Nava Misty húsvillájával!</t>
        </is>
      </c>
    </row>
    <row r="448">
      <c r="A448" s="3" t="inlineStr">
        <is>
          <t>10-111-002</t>
        </is>
      </c>
      <c r="B448" s="2" t="inlineStr">
        <is>
          <t>Nava 10-111-002 Misty tálaló lapát, 35 cm</t>
        </is>
      </c>
      <c r="C448" s="1" t="n">
        <v>1490.0</v>
      </c>
      <c r="D448" s="7" t="n">
        <f>HYPERLINK("https://www.somogyi.hu/product/nava-10-111-002-misty-talalo-lapat-35-cm-10-111-002-18638","https://www.somogyi.hu/product/nava-10-111-002-misty-talalo-lapat-35-cm-10-111-002-18638")</f>
        <v>0.0</v>
      </c>
      <c r="E448" s="7" t="n">
        <f>HYPERLINK("https://www.somogyi.hu/data/img/product_main_images/small/18638.jpg","https://www.somogyi.hu/data/img/product_main_images/small/18638.jpg")</f>
        <v>0.0</v>
      </c>
      <c r="F448" s="2" t="inlineStr">
        <is>
          <t>5205746889000</t>
        </is>
      </c>
      <c r="G448" s="4" t="inlineStr">
        <is>
          <t>Egy mindentudó segítőt a konyhába, ami minden fordulatra képes? A Nava 10-111-002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49">
      <c r="A449" s="3" t="inlineStr">
        <is>
          <t>10-111-017</t>
        </is>
      </c>
      <c r="B449" s="2" t="inlineStr">
        <is>
          <t>Nava 10-111-017 Misty szilikon ételfogó, húsokhoz, tésztához, 26 cm</t>
        </is>
      </c>
      <c r="C449" s="1" t="n">
        <v>2490.0</v>
      </c>
      <c r="D449" s="7" t="n">
        <f>HYPERLINK("https://www.somogyi.hu/product/nava-10-111-017-misty-szilikon-etelfogo-husokhoz-tesztahoz-26-cm-10-111-017-18650","https://www.somogyi.hu/product/nava-10-111-017-misty-szilikon-etelfogo-husokhoz-tesztahoz-26-cm-10-111-017-18650")</f>
        <v>0.0</v>
      </c>
      <c r="E449" s="7" t="n">
        <f>HYPERLINK("https://www.somogyi.hu/data/img/product_main_images/small/18650.jpg","https://www.somogyi.hu/data/img/product_main_images/small/18650.jpg")</f>
        <v>0.0</v>
      </c>
      <c r="F449" s="2" t="inlineStr">
        <is>
          <t>5205746889390</t>
        </is>
      </c>
      <c r="G449" s="4" t="inlineStr">
        <is>
          <t>Egy sokoldalú konyhai eszközt keres, amely segít a húsok, zöldségek könnyed és biztonságos megfordításában a sütőben vagy serpenyőben? A Nava 10-111-017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50">
      <c r="A450" s="3" t="inlineStr">
        <is>
          <t>10-111-018</t>
        </is>
      </c>
      <c r="B450" s="2" t="inlineStr">
        <is>
          <t>Nava 10-111-018 Misty szilikon ételfogó, grill ételekhez, 39 cm</t>
        </is>
      </c>
      <c r="C450" s="1" t="n">
        <v>2241.0</v>
      </c>
      <c r="D450" s="7" t="n">
        <f>HYPERLINK("https://www.somogyi.hu/product/nava-10-111-018-misty-szilikon-etelfogo-grill-etelekhez-39-cm-10-111-018-18651","https://www.somogyi.hu/product/nava-10-111-018-misty-szilikon-etelfogo-grill-etelekhez-39-cm-10-111-018-18651")</f>
        <v>0.0</v>
      </c>
      <c r="E450" s="7" t="n">
        <f>HYPERLINK("https://www.somogyi.hu/data/img/product_main_images/small/18651.jpg","https://www.somogyi.hu/data/img/product_main_images/small/18651.jpg")</f>
        <v>0.0</v>
      </c>
      <c r="F450" s="2" t="inlineStr">
        <is>
          <t>5205746903423</t>
        </is>
      </c>
      <c r="G450" s="4" t="inlineStr">
        <is>
          <t>Egy sokoldalú konyhai eszközt keres, amely segít a húsok, zöldségek könnyed és biztonságos megfordításában a sütőben vagy serpenyőben? A Nava 10-111-018 Misty szilikon ételfogó az Ön tökéletes segítője lesz minden főzési folyamatban.
Ez a kiváló minőségű, élelmiszerrel érintkezésre alkalmas szilikonfejjel rendelkező ételfogó (hossza 39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51">
      <c r="A451" s="3" t="inlineStr">
        <is>
          <t>10-111-001</t>
        </is>
      </c>
      <c r="B451" s="2" t="inlineStr">
        <is>
          <t>Nava 10-111-001 Misty burgonyatörő, 27 cm</t>
        </is>
      </c>
      <c r="C451" s="1" t="n">
        <v>1490.0</v>
      </c>
      <c r="D451" s="7" t="n">
        <f>HYPERLINK("https://www.somogyi.hu/product/nava-10-111-001-misty-burgonyatoro-27-cm-10-111-001-18637","https://www.somogyi.hu/product/nava-10-111-001-misty-burgonyatoro-27-cm-10-111-001-18637")</f>
        <v>0.0</v>
      </c>
      <c r="E451" s="7" t="n">
        <f>HYPERLINK("https://www.somogyi.hu/data/img/product_main_images/small/18637.jpg","https://www.somogyi.hu/data/img/product_main_images/small/18637.jpg")</f>
        <v>0.0</v>
      </c>
      <c r="F451" s="2" t="inlineStr">
        <is>
          <t>5205746888980</t>
        </is>
      </c>
      <c r="G451" s="4" t="inlineStr">
        <is>
          <t>Egy megbízható segítőtársat keres a konyhában, ami könnyedén birkózik meg a burgonyapüré, törtburgonya és más zöldségfélék készítésével? A Nava 10-111-001 Misty burgonyatörővel pillanatok alatt tökéletes állagú pürét varázsolhat!
A Misty burgonyatörőt (hossza 27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Fokozza a konyhai élményeket a Nava Misty burgonyatörővel, amely nemcsak praktikus, de hosszú távon is megbízható társ lesz a konyhában.</t>
        </is>
      </c>
    </row>
    <row r="452">
      <c r="A452" s="3" t="inlineStr">
        <is>
          <t>10-234-011</t>
        </is>
      </c>
      <c r="B452" s="2" t="inlineStr">
        <is>
          <t>Nava Acer 10-234-011 tésztakészítő gép</t>
        </is>
      </c>
      <c r="C452" s="1" t="n">
        <v>8990.0</v>
      </c>
      <c r="D452" s="7" t="n">
        <f>HYPERLINK("https://www.somogyi.hu/product/nava-acer-10-234-011-tesztakeszito-gep-10-234-011-18669","https://www.somogyi.hu/product/nava-acer-10-234-011-tesztakeszito-gep-10-234-011-18669")</f>
        <v>0.0</v>
      </c>
      <c r="E452" s="7" t="n">
        <f>HYPERLINK("https://www.somogyi.hu/data/img/product_main_images/small/18669.jpg","https://www.somogyi.hu/data/img/product_main_images/small/18669.jpg")</f>
        <v>0.0</v>
      </c>
      <c r="F452" s="2" t="inlineStr">
        <is>
          <t>5205746159141</t>
        </is>
      </c>
      <c r="G452" s="4" t="inlineStr">
        <is>
          <t>Ön is a friss, otthon készült tészták szerelmese, amelyek tisztán természetes alapanyagokból készülnek? A Nava Acer 10-234-011 tésztakészítő gép, levehető vágófejjel, az ideális megoldás mindenki számára, aki szeretné saját kezűleg elkészíteni a friss tésztát. 
Ez a kiváló minőségű rozsdamentes acélból készült gép könnyű használatot garantál, valamint lehetőséget biztosít arra, hogy a tészta vastagságát 7 különböző szinten, 3mm-től 0,5mm-ig állíthassa, 14,5 cm szélességben.
A konyhapultra vagy munkalapra rögzíthető szorítója további stabilitást nyújt használata során. Robusztus konstrukciójának köszönhetően nagy erőt és tartósságot kínál. A rozsdamentes acél anyaga ellenáll a rozsdásodásnak és a gyakori, hosszantartó használatnak is. Két vágópozícióban készítheti el a tésztát: egyik a tagliatelle számára (kb. 6mm szélesség), a másik pedig a spagetti számára (kb. 3mm szélesség). A házi készítésű tészta és kézzel készített piték még érdekesebbé válnak, hiszen mostantól saját friss alapanyagaival kísérletezhet konyhájában, bármit létrehozva, amit csak el tud képzelni.
FIGYELEM: A gépet ne mossa el vízben vagy mosogatógépben!
Néhány tipp, hogy sokáig használhassa a terméket:
* Az első használat előtt tisztítsa meg a hengereket és vágópengéket úgy, hogy többször átenged rajtuk némi tésztát, amit ezután el kell dobni.
* Minden használat után tisztítsa meg a sima hengerek alatti kaparókat száraz ruhával vagy papírtörlővel. A tésztakészítő pengéket puha kefével vagy fapálcikával tisztítsa.
* A gépet ne mossa vízzel vagy mosogatógépben.
* Ne használjon fémszivacsokat, drótot vagy erős tisztítószereket.
* Az Európai élelmiszer-érintkezési szabályoknak megfelelően készült.
* Kizárólag a javasolt használatra alkalmazza.
* Mindig tartsa távol a gyerekektől.
* 
Fedezze fel a friss tészta készítésének örömét a Nava Acer tésztakészítő géppel! Induljon el saját gasztronómiai utazására már ma, és hozzon létre valami különlegeset, amellyel megörvendeztetheti családját és barátait.</t>
        </is>
      </c>
    </row>
    <row r="453">
      <c r="A453" s="3" t="inlineStr">
        <is>
          <t>10-111-014</t>
        </is>
      </c>
      <c r="B453" s="2" t="inlineStr">
        <is>
          <t>Nava 10-111-014 Misty szilikon spatula, 25,5 cm</t>
        </is>
      </c>
      <c r="C453" s="1" t="n">
        <v>1490.0</v>
      </c>
      <c r="D453" s="7" t="n">
        <f>HYPERLINK("https://www.somogyi.hu/product/nava-10-111-014-misty-szilikon-spatula-25-5-cm-10-111-014-18665","https://www.somogyi.hu/product/nava-10-111-014-misty-szilikon-spatula-25-5-cm-10-111-014-18665")</f>
        <v>0.0</v>
      </c>
      <c r="E453" s="7" t="n">
        <f>HYPERLINK("https://www.somogyi.hu/data/img/product_main_images/small/18665.jpg","https://www.somogyi.hu/data/img/product_main_images/small/18665.jpg")</f>
        <v>0.0</v>
      </c>
      <c r="F453" s="2" t="inlineStr">
        <is>
          <t>5205746903409</t>
        </is>
      </c>
      <c r="G453" s="4" t="inlineStr">
        <is>
          <t>Ön is szeretné a sütés-főzés minden pillanatát egyszerűbbé és precízebbé tenni? A Nava 10-111-014 Misty szilikon spatula az Ön számára elengedhetetlen segítőtárs lesz a konyhában. 
Legyen szó tészta keveréséről, az edény oldalára ragadt ételek eltávolításáról, sütemények oldalának sértetlen leválasztásáról vagy a krémek simításáról, ez a spatula minden feladatot kényelmesen és precízen végrehajt. Kiváló minőségű szilikonból készült, ami élelmiszerrel való érintkezésre alkalmas, ergonomikus, csúszásmentes, puha tapintású nyéllel rendelkezik a kényelmes és pontos használat érdekében. A spatula végén található praktikus lyuk lehetővé teszi, hogy könnyedén felakaszthassa, így mindig kéznél lesz, amikor szüksége van rá.
Alkalmas rozsdamentes acél használatára, de a tapadásmentes serpenyőkkel is kiválóan működik, mivel nem karcolja és nem károsítja a tapadásmentes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A Misty szilikon spatula nem csak praktikus és sokoldalú konyhai eszköz, hanem segít fenntartani edényei épségét és meghosszabbítja azok élettartamát.</t>
        </is>
      </c>
    </row>
    <row r="454">
      <c r="A454" s="3" t="inlineStr">
        <is>
          <t>10-111-099</t>
        </is>
      </c>
      <c r="B454" s="2" t="inlineStr">
        <is>
          <t>Nava 10-111-099 Misty habzsák, 9 cserélhető fej, 0,5 literes kapacitás</t>
        </is>
      </c>
      <c r="C454" s="1" t="n">
        <v>1490.0</v>
      </c>
      <c r="D454" s="7" t="n">
        <f>HYPERLINK("https://www.somogyi.hu/product/nava-10-111-099-misty-habzsak-9-cserelheto-fej-0-5-literes-kapacitas-10-111-099-18664","https://www.somogyi.hu/product/nava-10-111-099-misty-habzsak-9-cserelheto-fej-0-5-literes-kapacitas-10-111-099-18664")</f>
        <v>0.0</v>
      </c>
      <c r="E454" s="7" t="n">
        <f>HYPERLINK("https://www.somogyi.hu/data/img/product_main_images/small/18664.jpg","https://www.somogyi.hu/data/img/product_main_images/small/18664.jpg")</f>
        <v>0.0</v>
      </c>
      <c r="F454" s="2" t="inlineStr">
        <is>
          <t>5205746129878</t>
        </is>
      </c>
      <c r="G454" s="4" t="inlineStr">
        <is>
          <t>Szeretné varázslatos desszertekkel lenyűgözni a gyerekeket és a felnőtteket egyaránt? A Nava 10-111-099 Misty habzsák készlettel most könnyedén és gyorsan díszítheti tortáit és édességeit. 
Válasszon a kilenc különböző díszítőcsúcs közül, vagy akár kombinálja őket, hogy egyedi mintákat hozzon létre.
A készlet magában foglal egy újrafelhasználható 500ml-es habzsákot, kilenc díszítőcsúcsot, egy csatlakozót és egy csipeszt a hab frissen és biztonságosan való tárolása érdekében a hűtőszekrényben, anélkül, hogy szivárgás történne. Az habzsák kiváló anyagból készült, élelmiszerrel való érintkezésre alkalmasak.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milyen könnyű profi szintű díszítéseket létrehozni a Nava Misty habzsák segítségével!</t>
        </is>
      </c>
    </row>
    <row r="455">
      <c r="A455" s="3" t="inlineStr">
        <is>
          <t>10-167-046</t>
        </is>
      </c>
      <c r="B455" s="2" t="inlineStr">
        <is>
          <t>Nava 10-167-046 Misty multifunkcionális olló, diótörő, konzervnyitó</t>
        </is>
      </c>
      <c r="C455" s="1" t="n">
        <v>1490.0</v>
      </c>
      <c r="D455" s="7" t="n">
        <f>HYPERLINK("https://www.somogyi.hu/product/nava-10-167-046-misty-multifunkcionalis-ollo-diotoro-konzervnyito-10-167-046-18658","https://www.somogyi.hu/product/nava-10-167-046-misty-multifunkcionalis-ollo-diotoro-konzervnyito-10-167-046-18658")</f>
        <v>0.0</v>
      </c>
      <c r="E455" s="7" t="n">
        <f>HYPERLINK("https://www.somogyi.hu/data/img/product_main_images/small/18658.jpg","https://www.somogyi.hu/data/img/product_main_images/small/18658.jpg")</f>
        <v>0.0</v>
      </c>
      <c r="F455" s="2" t="inlineStr">
        <is>
          <t>5205746908183</t>
        </is>
      </c>
      <c r="G455" s="4" t="inlineStr">
        <is>
          <t>Szeretne egy mindenre képes konyhai eszközt, ami egyszerűsíti a konyhai munkákat? A Nava 10-167-046 Misty multifunkcionális ollóval könnyedén és gyorsan apríthat húst, zöldségeket vagy fűszernövényeket. 
Ez a sokoldalú konyhai eszköz nemcsak mint olló használható, hanem diótörőként és konzervnyitóként is funkcionál. A levehető pengék megkönnyítik a tisztítást, és külön-külön is használhatók, akár késként vagy halpucoló eszközként. Kiemelkedően tartós, 18/8-as rozsdamentes acél pengékkel és ergonomikus, csúszásmentes markolattal rendelkezik a könnyű és biztonságos használathoz.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drótok vagy erős tisztítószerek használatát.
* Rozsdamentes acél termékekre specializált tisztítószerek használata ajánlott.
* Tartsa ujjait távol az éles pengétől, és csak a markolatnál fogva használja.
* Mozgatás közben mindig tartsa a pengét lefelé.
* Soha ne hagyja, hogy az asztal vagy a munkalap szélére kilógjon.
* Mindig jól látható helyen tárolja, például falimágnesen, dobozban, különleges tokban, és ne a mosogatóban vagy más tárgyak alatt.
* Mindig tartsa távol a gyermekektől.
Fedezze fel, mennyire egyszerűvé és kényelmessé válhat a konyhai előkészületek a Nava Misty multifunkcionális olló segítségével!</t>
        </is>
      </c>
    </row>
    <row r="456">
      <c r="A456" s="3" t="inlineStr">
        <is>
          <t>10-111-041</t>
        </is>
      </c>
      <c r="B456" s="2" t="inlineStr">
        <is>
          <t>Nava 10-111-041 Misty hőálló szilikon sütőkesztyű, 30 cm</t>
        </is>
      </c>
      <c r="C456" s="1" t="n">
        <v>3490.0</v>
      </c>
      <c r="D456" s="7" t="n">
        <f>HYPERLINK("https://www.somogyi.hu/product/nava-10-111-041-misty-hoallo-szilikon-sutokesztyu-30-cm-10-111-041-18660","https://www.somogyi.hu/product/nava-10-111-041-misty-hoallo-szilikon-sutokesztyu-30-cm-10-111-041-18660")</f>
        <v>0.0</v>
      </c>
      <c r="E456" s="7" t="n">
        <f>HYPERLINK("https://www.somogyi.hu/data/img/product_main_images/small/18660.jpg","https://www.somogyi.hu/data/img/product_main_images/small/18660.jpg")</f>
        <v>0.0</v>
      </c>
      <c r="F456" s="2" t="inlineStr">
        <is>
          <t>5205746889352</t>
        </is>
      </c>
      <c r="G456" s="4" t="inlineStr">
        <is>
          <t>Szeretné biztonságosan és kényelmesen kezelni a forró edényeket? A Nava 10-111-041 Misty hőálló szilikon sütőkesztyűvel mostantól magabiztosan veheti kézbe a meleg serpenyőket és lábasokat. 
Ez a különleges eszköz kiemelkedik rugalmas, tartós, magas minőségű szilikon anyagának köszönhetően, amely élelmiszerekkel való érintkezésre is megfelelő és ellenáll a magas hőmérsékletnek. Rugalmas szilikonból készült sütőkesztyű különleges, kiemelkedett, csúszásmentes felülettel rendelkezik, amely stabil és kényelmes fogást biztosít.
A belső része szövettel bélelt, így még nagyobb kényelmet nyújt használat közben. A kesztyűn található praktikus hurok lehetővé teszi, hogy könnyedén felakaszthassa, amikor éppen nem használja, így mindig kéznél lesz, amikor szüksége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és biztonságossá teheti a sütés-főzést a Nava Misty szilikon sütőkesztyűvel!</t>
        </is>
      </c>
    </row>
    <row r="457">
      <c r="A457" s="3" t="inlineStr">
        <is>
          <t>10-111-027</t>
        </is>
      </c>
      <c r="B457" s="2" t="inlineStr">
        <is>
          <t>Nava 10-111-027 Misty pizzavágó, rozsdamentes acél kerékkel, 21 cm</t>
        </is>
      </c>
      <c r="C457" s="1" t="n">
        <v>1490.0</v>
      </c>
      <c r="D457" s="7" t="n">
        <f>HYPERLINK("https://www.somogyi.hu/product/nava-10-111-027-misty-pizzavago-rozsdamentes-acel-kerekkel-21-cm-10-111-027-18653","https://www.somogyi.hu/product/nava-10-111-027-misty-pizzavago-rozsdamentes-acel-kerekkel-21-cm-10-111-027-18653")</f>
        <v>0.0</v>
      </c>
      <c r="E457" s="7" t="n">
        <f>HYPERLINK("https://www.somogyi.hu/data/img/product_main_images/small/18653.jpg","https://www.somogyi.hu/data/img/product_main_images/small/18653.jpg")</f>
        <v>0.0</v>
      </c>
      <c r="F457" s="2" t="inlineStr">
        <is>
          <t>5205746129748</t>
        </is>
      </c>
      <c r="G457" s="4" t="inlineStr">
        <is>
          <t>Otthon elkészített, vagy kiszállított pizzát szeretne felszeletelni, de nem szívesen bajlódik késsel? Válassza a Nava 10-111-027 Misty pizzavágót, hogy egyszerűen és gyorsan asztalra tehesse kedvenc pizzáját!
A kerék pengéje keskenyebbé és élesebbé válik a szélén, így tökéletes vágást biztosít a pizza feltétjén és a szélén egyaránt, miközben sima felülete miatt a tészta vágása közben nem tapadnak az alapanyagok a pengére. További előnyként szolgál, hogy tésztalapokat is vághat vele, így otthon készült piték vagy kekszek méretre és formára szabásához is használhatja.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pizzavágót a kényelmes, biztonságos és stílusos konyhai munkához.</t>
        </is>
      </c>
    </row>
    <row r="458">
      <c r="A458" s="3" t="inlineStr">
        <is>
          <t>10-111-025</t>
        </is>
      </c>
      <c r="B458" s="2" t="inlineStr">
        <is>
          <t>Nava 10-111-025 Misty konzerv- és üvegnyitó, 22 cm</t>
        </is>
      </c>
      <c r="C458" s="1" t="n">
        <v>2490.0</v>
      </c>
      <c r="D458" s="7" t="n">
        <f>HYPERLINK("https://www.somogyi.hu/product/nava-10-111-025-misty-konzerv-es-uvegnyito-22-cm-10-111-025-18655","https://www.somogyi.hu/product/nava-10-111-025-misty-konzerv-es-uvegnyito-22-cm-10-111-025-18655")</f>
        <v>0.0</v>
      </c>
      <c r="E458" s="7" t="n">
        <f>HYPERLINK("https://www.somogyi.hu/data/img/product_main_images/small/18655.jpg","https://www.somogyi.hu/data/img/product_main_images/small/18655.jpg")</f>
        <v>0.0</v>
      </c>
      <c r="F458" s="2" t="inlineStr">
        <is>
          <t>5205746889406</t>
        </is>
      </c>
      <c r="G458" s="4" t="inlineStr">
        <is>
          <t>Sokat bajlódik konzervek és üvegek kinyitásával? A Nava 10-111-025 Misty konzerv- és üvegnyitó mostantól a segítségére lesz!
Nyissa ki a fémdobozokat egyszerűen és gyorsan a praktikus NAVA Misty konzervnyitóval. Simán vág, nem hagy éles széleket, megelőzve a sérülések kockázatát.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konzerv- és üvegnyitót a kényelmes, biztonságos és stílusos konyhai munkához.</t>
        </is>
      </c>
    </row>
    <row r="459">
      <c r="A459" s="3" t="inlineStr">
        <is>
          <t>10-135-112</t>
        </is>
      </c>
      <c r="B459" s="2" t="inlineStr">
        <is>
          <t>Nava 10-135-112 Misty rozsdamentes acél reszelő</t>
        </is>
      </c>
      <c r="C459" s="1" t="n">
        <v>2490.0</v>
      </c>
      <c r="D459" s="7" t="n">
        <f>HYPERLINK("https://www.somogyi.hu/product/nava-10-135-112-misty-rozsdamentes-acel-reszelo-10-135-112-18668","https://www.somogyi.hu/product/nava-10-135-112-misty-rozsdamentes-acel-reszelo-10-135-112-18668")</f>
        <v>0.0</v>
      </c>
      <c r="E459" s="7" t="n">
        <f>HYPERLINK("https://www.somogyi.hu/data/img/product_main_images/small/18668.jpg","https://www.somogyi.hu/data/img/product_main_images/small/18668.jpg")</f>
        <v>0.0</v>
      </c>
      <c r="F459" s="2" t="inlineStr">
        <is>
          <t>5205746895407</t>
        </is>
      </c>
      <c r="G459" s="4" t="inlineStr">
        <is>
          <t>Szeretne egy sokoldalú eszközt, ami minden főzési és sütési feladatot könnyebbé tesz? A Nava 10-135-112 Misty rozsdamentes acél reszelő elengedhetetlen segítőtársa lesz a konyhában, legyen szó sajt, zöldségek - mint például répa vagy cukkini - reszeléséről, narancs, citrom vagy csokoládé finomításáról, vagy akár uborka, padlizsán, krumpli vékony szeletekre vágásáról.
Az 18/8-as rozsdamentes acélból készült, élelmiszerrel való érintkezésre alkalmas reszelő ergonomikus fogantyúval és csúszásmentes alappal rendelkezik a stabil és biztonságos használathoz. Négy különböző reszelőfelülettel büszkélkedhet: vastag, közepes, finom reszeléshez és egy szeletelőfelülettel.
Mosogatógépben is mosható, így a tisztítása egyszerű és gyors. A Misty konyhai eszközök sorozata a konyha és főzés szerelmeseinek készült, ahol a funkcionalitás és innováció elveit követve minden elképzelhető igényt kielégítő eszközöket talál.
Néhány tipp, hogy sokáig használhassa a terméket:
* Az első használat előtt mossa meg langyos, szappanos vízzel és puha szivaccsal.
* Minden használat után alaposan mossa el és szárítsa meg egy száraz ruhával.
* Kerülje a fémszivacsok és erős tisztítószerek használatát.
* Rozsdamentes acél termékekhez ajánlott tisztítószerek használata javasolt.
A Nava Misty rozsdamentes acél reszelővel minden előkészítési és díszítési feladat könnyedén és biztonságosan elvégezhető.</t>
        </is>
      </c>
    </row>
    <row r="460">
      <c r="A460" s="3" t="inlineStr">
        <is>
          <t>10-111-024</t>
        </is>
      </c>
      <c r="B460" s="2" t="inlineStr">
        <is>
          <t>Nava 10-111-024 Misty fokhagymanyomó, 20,5 cm</t>
        </is>
      </c>
      <c r="C460" s="1" t="n">
        <v>2490.0</v>
      </c>
      <c r="D460" s="7" t="n">
        <f>HYPERLINK("https://www.somogyi.hu/product/nava-10-111-024-misty-fokhagymanyomo-20-5-cm-10-111-024-18654","https://www.somogyi.hu/product/nava-10-111-024-misty-fokhagymanyomo-20-5-cm-10-111-024-18654")</f>
        <v>0.0</v>
      </c>
      <c r="E460" s="7" t="n">
        <f>HYPERLINK("https://www.somogyi.hu/data/img/product_main_images/small/18654.jpg","https://www.somogyi.hu/data/img/product_main_images/small/18654.jpg")</f>
        <v>0.0</v>
      </c>
      <c r="F460" s="2" t="inlineStr">
        <is>
          <t>5205746889246</t>
        </is>
      </c>
      <c r="G460" s="4" t="inlineStr">
        <is>
          <t>Gondolkodott már azon, hogy milyen lenne a fokhagyma préselése anélkül, hogy utána órákon át érezné a szagát a kezén? A Nava 10-111-024 Misty fokhagymanyomóval mostantól könnyedén megvalósíthatja ezt az álmot.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fokhagymanyomót a kényelmes, biztonságos és stílusos konyhai munkához.</t>
        </is>
      </c>
    </row>
    <row r="461">
      <c r="A461" s="3" t="inlineStr">
        <is>
          <t>10-111-007</t>
        </is>
      </c>
      <c r="B461" s="2" t="inlineStr">
        <is>
          <t>Nava 10-111-007 Misty habverő, 31 cm</t>
        </is>
      </c>
      <c r="C461" s="1" t="n">
        <v>1490.0</v>
      </c>
      <c r="D461" s="7" t="n">
        <f>HYPERLINK("https://www.somogyi.hu/product/nava-10-111-007-misty-habvero-31-cm-10-111-007-18644","https://www.somogyi.hu/product/nava-10-111-007-misty-habvero-31-cm-10-111-007-18644")</f>
        <v>0.0</v>
      </c>
      <c r="E461" s="7" t="n">
        <f>HYPERLINK("https://www.somogyi.hu/data/img/product_main_images/small/18644.jpg","https://www.somogyi.hu/data/img/product_main_images/small/18644.jpg")</f>
        <v>0.0</v>
      </c>
      <c r="F461" s="2" t="inlineStr">
        <is>
          <t>5205746889130</t>
        </is>
      </c>
      <c r="G461" s="4" t="inlineStr">
        <is>
          <t>Szeretne krémesebb omlettet vagy tökéletesen habos süteményeket készíteni? A Nava 10-111-007 Misty habverő az Ön új, elengedhetetlen segítője lesz a konyhában.
A Misty habverőt (hossza 31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a Misty habverővel!</t>
        </is>
      </c>
    </row>
    <row r="462">
      <c r="A462" s="3" t="inlineStr">
        <is>
          <t>10-111-008</t>
        </is>
      </c>
      <c r="B462" s="2" t="inlineStr">
        <is>
          <t>Nava 10-111-008 tésztakiszedő kanál, spagetti, 34 cm</t>
        </is>
      </c>
      <c r="C462" s="1" t="n">
        <v>1490.0</v>
      </c>
      <c r="D462" s="7" t="n">
        <f>HYPERLINK("https://www.somogyi.hu/product/nava-10-111-008-tesztakiszedo-kanal-spagetti-34-cm-10-111-008-18645","https://www.somogyi.hu/product/nava-10-111-008-tesztakiszedo-kanal-spagetti-34-cm-10-111-008-18645")</f>
        <v>0.0</v>
      </c>
      <c r="E462" s="7" t="n">
        <f>HYPERLINK("https://www.somogyi.hu/data/img/product_main_images/small/18645.jpg","https://www.somogyi.hu/data/img/product_main_images/small/18645.jpg")</f>
        <v>0.0</v>
      </c>
      <c r="F462" s="2" t="inlineStr">
        <is>
          <t>5205746889031</t>
        </is>
      </c>
      <c r="G462" s="4" t="inlineStr">
        <is>
          <t>Egy univerzális eszközt keres, amely megkönnyíti a tészta szervírozását? A Nava 10-111-008 tésztakiszedő kanál minden tésztakedvelő számára elengedhetetlen segítség a konyhában.
A Misty tésztakiszedőt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hogyan változtathatja meg a tésztafogyasztás élményét a Nava Misty tésztakiszedő kanállal, amely egyszerűsíti a főzési és tálalási folyamatot.</t>
        </is>
      </c>
    </row>
    <row r="463">
      <c r="A463" s="3" t="inlineStr">
        <is>
          <t>10-111-010</t>
        </is>
      </c>
      <c r="B463" s="2" t="inlineStr">
        <is>
          <t>Nava 10-111-010 Misty merőkanál, 35 cm</t>
        </is>
      </c>
      <c r="C463" s="1" t="n">
        <v>1490.0</v>
      </c>
      <c r="D463" s="7" t="n">
        <f>HYPERLINK("https://www.somogyi.hu/product/nava-10-111-010-misty-merokanal-35-cm-10-111-010-18646","https://www.somogyi.hu/product/nava-10-111-010-misty-merokanal-35-cm-10-111-010-18646")</f>
        <v>0.0</v>
      </c>
      <c r="E463" s="7" t="n">
        <f>HYPERLINK("https://www.somogyi.hu/data/img/product_main_images/small/18646.jpg","https://www.somogyi.hu/data/img/product_main_images/small/18646.jpg")</f>
        <v>0.0</v>
      </c>
      <c r="F463" s="2" t="inlineStr">
        <is>
          <t>5205746889437</t>
        </is>
      </c>
      <c r="G463" s="4" t="inlineStr">
        <is>
          <t>Szeretne elegánsan és könnyedén tálalni minden levest és mártást? A Nava 10-111-010 Misty merőkanál az Ön tökéletes segítőtársa lesz a konyhában.
A Misty merőkanál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 és elegánsabb lehet a tálalás a Nava Misty merőkanállal, amely minden étel szervírozását könnyűvé és problémamentessé teszi.</t>
        </is>
      </c>
    </row>
    <row r="464">
      <c r="A464" s="3" t="inlineStr">
        <is>
          <t>10-100-003</t>
        </is>
      </c>
      <c r="B464" s="2" t="inlineStr">
        <is>
          <t>Nava 10-100-003 Acer tortapiskóta szeletelő, rozsdamentes acél, 16 cm</t>
        </is>
      </c>
      <c r="C464" s="1" t="n">
        <v>1490.0</v>
      </c>
      <c r="D464" s="7" t="n">
        <f>HYPERLINK("https://www.somogyi.hu/product/nava-10-100-003-acer-tortapiskota-szeletelo-rozsdamentes-acel-16-cm-10-100-003-18679","https://www.somogyi.hu/product/nava-10-100-003-acer-tortapiskota-szeletelo-rozsdamentes-acel-16-cm-10-100-003-18679")</f>
        <v>0.0</v>
      </c>
      <c r="E464" s="7" t="n">
        <f>HYPERLINK("https://www.somogyi.hu/data/img/product_main_images/small/18679.jpg","https://www.somogyi.hu/data/img/product_main_images/small/18679.jpg")</f>
        <v>0.0</v>
      </c>
      <c r="F464" s="2" t="inlineStr">
        <is>
          <t>5205746001075</t>
        </is>
      </c>
      <c r="G464" s="4" t="inlineStr">
        <is>
          <t>Szeretné felgyorsítani a főzési folyamatot, miközben megőrzi az ételek tápanyagtartalmát? A Nava 10-266-013 Acer rozsdamentes acél kukta tökéletes választás a gyors és egészséges ételek elkészítéséhez.
A 6 liter űrtartalmú kukta CE szabványoknak megfelelő specifikációkkal rendelkezik, 18/8-as (SS 304) rozsdamentes acélból készült 1mm-es falvastagsággal. A fedél anyaga 1,2mm-es vastag rozsdamentes acél, míg az alját rozsdamentes acélból és alumíniumból álló háromrétegű, 4,5mm vastagságú anyag képezi, ami kiváló hőelosztást biztosít.
A szilikon tömítőgyűrűvel ellátott kukta belsejében található űrtartalom-skála fél literes léptékekkel van megjelölve a maximális űrtartalomig. A nyomásszabályozó szelep két különböző nyomásszintet kínál működés közben, az első szint 60kPa±10%, míg a második szint 100kPa±10%. A kukta ergonomikus bakelit fogantyúkkal van ellátva, amelyek biztonságos fogást és szállítást tesznek lehetővé.
A kukta három alternatív biztonsági rendszerrel rendelkezik: egy nyomásszabályozó szelep (két nyomásszinttel), egy gőzkiengedő szelep és egy biztonsági ablak. A maximális biztonsági határértékek a következők: 1. szint: 60-100kPa (nyomásszabályozó szelep), 2. szint: 120-160kPa (gőzkiengedő biztonsági szelep), 3. szint: 180-300kPa (biztonsági ablak).
A kuktát minden típusú tűzhelyen használhatja, átmérője 22 cm, aljának átmérője 19,5 cm, a maximális belső nyomás pedig 360kPa. A fedél biztonsági funkciói közé tartozik, hogy 4kPa feletti belső nyomás esetén nem nyitható ki, míg 4kPa alatti belső nyomásnál nem növelhető a nyomás, ha a fedél nem megfelelően van lezárva.
Figyelem: Ez a kukta kizárólag kis mennyiségű étel elkészítésére szolgál kizárólag magánháztartásokban, és nem alkalmas professzionális használatra.
Főzzön gyorsan, egészségesen és kényelmesen a Nava Acer rozsdamentes acél kuktával, amely konyhájának elengedhetetlen társa lesz. Fedezze fel a gyors főzés minden előnyét, és élvezze az ízletes, tápanyagban gazdag ételeket nap mint nap!</t>
        </is>
      </c>
    </row>
    <row r="465">
      <c r="A465" s="3" t="inlineStr">
        <is>
          <t>10-111-081</t>
        </is>
      </c>
      <c r="B465" s="2" t="inlineStr">
        <is>
          <t>NAVA 10-111-081 Imperial szilikon sütőkesztyű</t>
        </is>
      </c>
      <c r="C465" s="1" t="n">
        <v>3890.0</v>
      </c>
      <c r="D465" s="7" t="n">
        <f>HYPERLINK("https://www.somogyi.hu/product/nava-10-111-081-imperial-szilikon-sutokesztyu-10-111-081-18361","https://www.somogyi.hu/product/nava-10-111-081-imperial-szilikon-sutokesztyu-10-111-081-18361")</f>
        <v>0.0</v>
      </c>
      <c r="E465" s="7" t="n">
        <f>HYPERLINK("https://www.somogyi.hu/data/img/product_main_images/small/18361.jpg","https://www.somogyi.hu/data/img/product_main_images/small/18361.jpg")</f>
        <v>0.0</v>
      </c>
      <c r="F465" s="2" t="inlineStr">
        <is>
          <t>5205746117936</t>
        </is>
      </c>
      <c r="G465" s="4" t="inlineStr">
        <is>
          <t>Hogyan óvhatja meg kezeit, miközben forró edényekkel dolgozik konyhájában? A NAVA Imperial 10-111-081 szilikon sütőkesztyű a megfelelő választás forró tárgyak kezeléséhez. 
Ez a kiváló minőségű szilikon sütőkesztyű stabil fogást biztosít a csúszásmentes, dombornyomott felületével, miközben kívül a puha és rugalmas szilikon a magas hőmérsékleteknek is ellenáll, belül pedig a szövet borítás extra kényelmet nyújt. A NAVA Imperial 10-111-081 sütőkesztyű könnyedén karbantartható; egyszerűen tisztítható a mosogatógépben, és a praktikus akasztóval az oldalán helytakarékosan tárolható. Legyen szó sütésről, főzésről vagy grillezésről, ez a sütőkesztyű megbízható társa lesz a konyhai kalandokban. A hosszú élettartam érdekében csak puha szivaccsal és szappanos vízzel tisztítsa az első használat előtt, és kerülje a fémszivacsot, drótot vagy az erős tisztítószereket a karbantartás során.
Fedezze fel a biztonság és kényelem új szintjét a NAVA Imperial 10-111-081 szilikon sütőkesztyűvel! Kezdje el ma a kényelmes és biztonságos sütést-főzést, és élvezze a konyhai munka minden pillanatát az új sütőkesztyűjével.</t>
        </is>
      </c>
    </row>
    <row r="466">
      <c r="A466" s="3" t="inlineStr">
        <is>
          <t>10-111-108</t>
        </is>
      </c>
      <c r="B466" s="2" t="inlineStr">
        <is>
          <t>Nava 10-111-108 Misty italkiöntő és dugó</t>
        </is>
      </c>
      <c r="C466" s="1" t="n">
        <v>1990.0</v>
      </c>
      <c r="D466" s="7" t="n">
        <f>HYPERLINK("https://www.somogyi.hu/product/nava-10-111-108-misty-italkionto-es-dugo-10-111-108-18656","https://www.somogyi.hu/product/nava-10-111-108-misty-italkionto-es-dugo-10-111-108-18656")</f>
        <v>0.0</v>
      </c>
      <c r="E466" s="7" t="n">
        <f>HYPERLINK("https://www.somogyi.hu/data/img/product_main_images/small/18656.jpg","https://www.somogyi.hu/data/img/product_main_images/small/18656.jpg")</f>
        <v>0.0</v>
      </c>
      <c r="F466" s="2" t="inlineStr">
        <is>
          <t>5205746158304</t>
        </is>
      </c>
      <c r="G466" s="4" t="inlineStr">
        <is>
          <t>Szeretne egy olyan eszközt, ami megőrzi az italok frissességét és egyszerűen kiönthetővé teszi azokat? A Nava 10-111-108 Misty italkiöntő és dugó konyhájának elengedhetetlen kelléke lesz már az első használat után! 
Csak helyezze az italosüveg szájába, zárja le, és így italai hosszú ideig megőrzik első napi frissességüket! A dugó nemcsak zárként funkcionál, hanem tág kiöntőcsőrként is szolgál, amely szabályozza az ital folyását közvetlenül a pohárba történő kiöntésnél. Elegáns és modern tervezésű kiöntő, praktikus zárral. Rugalmas bordái könnyűvé teszik a dugó behelyezését és eltávolítását. Minden szabványos méretű üveghez illeszkedik. Tökéletes ajándék bor-, sör-, víz- vagy pezsgőkedvelők számára, formális alkalmakra, születésnapokra, házavatókra, ballagásokra és egyéb eseményekre.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 vagy erős tisztítószerek használatát.
Fedezze fel a Nava Misty italkiöntő és dugó nyújtotta kényelmet és praktikumot! Tartsa italait frissen és öntsön belőlük elegánsan, minden alkalommal.</t>
        </is>
      </c>
    </row>
    <row r="467">
      <c r="A467" s="3" t="inlineStr">
        <is>
          <t>10-111-047</t>
        </is>
      </c>
      <c r="B467" s="2" t="inlineStr">
        <is>
          <t>Nava 10-111-047 Misty tojásszeletelő, rozsdamentes vágórész, 12 cm</t>
        </is>
      </c>
      <c r="C467" s="1" t="n">
        <v>1490.0</v>
      </c>
      <c r="D467" s="7" t="n">
        <f>HYPERLINK("https://www.somogyi.hu/product/nava-10-111-047-misty-tojasszeletelo-rozsdamentes-vagoresz-12-cm-10-111-047-18657","https://www.somogyi.hu/product/nava-10-111-047-misty-tojasszeletelo-rozsdamentes-vagoresz-12-cm-10-111-047-18657")</f>
        <v>0.0</v>
      </c>
      <c r="E467" s="7" t="n">
        <f>HYPERLINK("https://www.somogyi.hu/data/img/product_main_images/small/18657.jpg","https://www.somogyi.hu/data/img/product_main_images/small/18657.jpg")</f>
        <v>0.0</v>
      </c>
      <c r="F467" s="2" t="inlineStr">
        <is>
          <t>5205746129595</t>
        </is>
      </c>
      <c r="G467" s="4" t="inlineStr">
        <is>
          <t>Van megoldása arra, hogy hogyan készíthet tökéletesen egyenletes tojásszeleteket villámgyorsan? A Nava 10-111-047 Misty tojásszeletelővel mostantól egyszerűen és gyorsan készíthet speciális salátákat és előételeket. 
Ez konyhai eszköz lehetővé teszi, hogy egyetlen mozdulattal 10 tökéletesen egyforma szeletet készítsen, anélkül, hogy a tojást összetörné. A Misty tojásszeletelő nemcsak tojásokhoz tökéletes választás, hanem gombák, avokádók, kiwik, főtt burgonyák egyenletes szeletelésére is kiválóan alkalmas.
Az ergonomikus kialakítás és a tartós anyagok, mint a műanyag test és a rozsdamentes acél vágóhúrok, garantálják a termék hosszú élettartamát és biztonságos használatát élelmiszerekkel érintkezve.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Tegye próbára a Nava Misty tojásszeletelőt, és emelje új szintre saláták és előételek elkészítését!</t>
        </is>
      </c>
    </row>
    <row r="468">
      <c r="A468" s="3" t="inlineStr">
        <is>
          <t>10-111-035</t>
        </is>
      </c>
      <c r="B468" s="2" t="inlineStr">
        <is>
          <t>Nava 10-111-035 Misty szilikon tölcsér, 10 cm</t>
        </is>
      </c>
      <c r="C468" s="1" t="n">
        <v>990.0</v>
      </c>
      <c r="D468" s="7" t="n">
        <f>HYPERLINK("https://www.somogyi.hu/product/nava-10-111-035-misty-szilikon-tolcser-10-cm-10-111-035-18659","https://www.somogyi.hu/product/nava-10-111-035-misty-szilikon-tolcser-10-cm-10-111-035-18659")</f>
        <v>0.0</v>
      </c>
      <c r="E468" s="7" t="n">
        <f>HYPERLINK("https://www.somogyi.hu/data/img/product_main_images/small/18659.jpg","https://www.somogyi.hu/data/img/product_main_images/small/18659.jpg")</f>
        <v>0.0</v>
      </c>
      <c r="F468" s="2" t="inlineStr">
        <is>
          <t>5205746888966</t>
        </is>
      </c>
      <c r="G468" s="4" t="inlineStr">
        <is>
          <t>Szeretné Ön is a folyadékokat könnyedén áttölteni üvegekbe? A Nava 10-111-035 Misty szilikon tölcsérrel mostantól pillanatok alatt, tiszta és rendezett konyhában végezheti ezt a feladatot. 
Ez a különleges eszköz kiemelkedik rugalmas, tartós, magas minőségű szilikon anyagának köszönhetően, amely élelmiszerekkel való érintkezésre is megfelelő és ellenáll a magas hőmérsékletnek.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a Nava Misty szilikon tölcsér által nyújtott kényelmet és hatékonyságot, és tegye a folyadékok áttöltését zökkenőmentessé konyhájában!</t>
        </is>
      </c>
    </row>
    <row r="469">
      <c r="A469" s="3" t="inlineStr">
        <is>
          <t>10-111-044</t>
        </is>
      </c>
      <c r="B469" s="2" t="inlineStr">
        <is>
          <t>Nava 10-111-044 Misty hőálló szilikon alátét, 18x18 cm</t>
        </is>
      </c>
      <c r="C469" s="1" t="n">
        <v>1490.0</v>
      </c>
      <c r="D469" s="7" t="n">
        <f>HYPERLINK("https://www.somogyi.hu/product/nava-10-111-044-misty-hoallo-szilikon-alatet-18x18-cm-10-111-044-18661","https://www.somogyi.hu/product/nava-10-111-044-misty-hoallo-szilikon-alatet-18x18-cm-10-111-044-18661")</f>
        <v>0.0</v>
      </c>
      <c r="E469" s="7" t="n">
        <f>HYPERLINK("https://www.somogyi.hu/data/img/product_main_images/small/18661.jpg","https://www.somogyi.hu/data/img/product_main_images/small/18661.jpg")</f>
        <v>0.0</v>
      </c>
      <c r="F469" s="2" t="inlineStr">
        <is>
          <t>5205746889284</t>
        </is>
      </c>
      <c r="G469" s="4" t="inlineStr">
        <is>
          <t>Ön is aggódik a konyhapultja vagy az asztala védelme miatt, amikor forró edényeket helyez rá? A Nava 10-111-044 Misty hőálló szilikon alátéttel már nem kell kompromisszumokat kötnie a konyhai biztonság és stílus között.
Ez az alátét különleges, kiemelkedő, csúszásmentes felülettel rendelkezik, amely stabil alapot biztosít a forró edények számára, megóvva ezzel a felületeket a hő okozta károsodástól.
A lágy, rugalmas, magas minőségű szilikonból készült alátét (mérete 18x18 cm) ellenáll a magas hőmérsékleteknek, így ideális választás minden típusú konyhába. A praktikus lyuk a szélén lehetővé teszi, hogy könnyedén felakaszthassa, amikor nem használja, így mindig kéznél lesz, amikor szükség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Végre búcsút mondhat a forró edények okozta károsodásoknak, és stílusos megoldást vihet konyhájába a Nava Misty hőálló szilikon alátéttel.</t>
        </is>
      </c>
    </row>
    <row r="470">
      <c r="A470" s="3" t="inlineStr">
        <is>
          <t>10-111-019</t>
        </is>
      </c>
      <c r="B470" s="2" t="inlineStr">
        <is>
          <t>Nava 10-111-019 Misty sütemény- és ravioli vágó, rozsdamentes acél kerekekkel, 18,5 cm</t>
        </is>
      </c>
      <c r="C470" s="1" t="n">
        <v>1990.0</v>
      </c>
      <c r="D470" s="7" t="n">
        <f>HYPERLINK("https://www.somogyi.hu/product/nava-10-111-019-misty-sutemeny-es-ravioli-vago-rozsdamentes-acel-kerekekkel-18-5-cm-10-111-019-18652","https://www.somogyi.hu/product/nava-10-111-019-misty-sutemeny-es-ravioli-vago-rozsdamentes-acel-kerekekkel-18-5-cm-10-111-019-18652")</f>
        <v>0.0</v>
      </c>
      <c r="E470" s="7" t="n">
        <f>HYPERLINK("https://www.somogyi.hu/data/img/product_main_images/small/18652.jpg","https://www.somogyi.hu/data/img/product_main_images/small/18652.jpg")</f>
        <v>0.0</v>
      </c>
      <c r="F470" s="2" t="inlineStr">
        <is>
          <t>5205746119107</t>
        </is>
      </c>
      <c r="G470" s="4" t="inlineStr">
        <is>
          <t>Készítsen otthoni raviolit, töltött pitét vagy kekszet könnyedén és gyorsan, az Ön által választott méretben és formában a Nava 10-111-019 sütemény- és ravioli vágóval!
Ez az eszköz kettős vágókerékkel rendelkezik: egy sima az egyenes vágásokhoz és egy hullámos a cikk-cakk szélekhez, így a szerszám vágás közben egyidejűleg lezárja a pite vagy a ravioli széleit. Ideális tészta, sós rudak, grissini, édes vagy sós kekszek és sütemények készítésére, valamint piték díszítésére.
Rozsdamentes acélból készült, élelmiszerrel való érintkezésre alkalmas, ergonómikus, csúszásmentes, puha tapintású markolattal a stabil és biztonságos kezelhetőség érdekében. A markolat végén található praktikus lyuknak köszönhetően könnyen felakasztható.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Nava Misty sütemény- és ravioli vágót a kényelmes, biztonságos és stílusos konyhai munkához.</t>
        </is>
      </c>
    </row>
    <row r="471">
      <c r="A471" s="6" t="inlineStr">
        <is>
          <t xml:space="preserve">   Világítás / LED fényforrás, kompakt fénycső, halogén izzó</t>
        </is>
      </c>
      <c r="B471" s="6" t="inlineStr">
        <is>
          <t/>
        </is>
      </c>
      <c r="C471" s="6" t="inlineStr">
        <is>
          <t/>
        </is>
      </c>
      <c r="D471" s="6" t="inlineStr">
        <is>
          <t/>
        </is>
      </c>
      <c r="E471" s="6" t="inlineStr">
        <is>
          <t/>
        </is>
      </c>
      <c r="F471" s="6" t="inlineStr">
        <is>
          <t/>
        </is>
      </c>
      <c r="G471" s="6" t="inlineStr">
        <is>
          <t/>
        </is>
      </c>
    </row>
    <row r="472">
      <c r="A472" s="3" t="inlineStr">
        <is>
          <t>PLUS-6 4200K / GU10</t>
        </is>
      </c>
      <c r="B472" s="2" t="inlineStr">
        <is>
          <t>Home PLUS-6 4200K / GU10 LED fényforrás, 6 W, 510 lm, GU10, 4200 K</t>
        </is>
      </c>
      <c r="C472" s="1" t="n">
        <v>839.0</v>
      </c>
      <c r="D472" s="7" t="n">
        <f>HYPERLINK("https://www.somogyi.hu/product/home-plus-6-4200k-gu10-led-fenyforras-6-w-510-lm-gu10-4200-k-plus-6-4200k-gu10-14993","https://www.somogyi.hu/product/home-plus-6-4200k-gu10-led-fenyforras-6-w-510-lm-gu10-4200-k-plus-6-4200k-gu10-14993")</f>
        <v>0.0</v>
      </c>
      <c r="E472" s="7" t="n">
        <f>HYPERLINK("https://www.somogyi.hu/data/img/product_main_images/small/14993.jpg","https://www.somogyi.hu/data/img/product_main_images/small/14993.jpg")</f>
        <v>0.0</v>
      </c>
      <c r="F472" s="2" t="inlineStr">
        <is>
          <t>8680985531984</t>
        </is>
      </c>
      <c r="G472" s="4" t="inlineStr">
        <is>
          <t>A Horoz PLUS-6 4200K / GU10 LED fényforrás kiváló fényerejét az SMD LED technológia garantálja. Élettartama rendkívül magas, akár 25.000 órán át üzemel. A LED izzó A+ energiahatékonysági osztályba tartozik. 
A termék teljesítménye: 6 W. Színhőmérséklete: 4200 K. Fényerőssége: 390 lm.
Foglalatának típusa: GU10.
Válasszon környezettudatosan LED fényforrást, mellyel energiát spórolhat meg!</t>
        </is>
      </c>
    </row>
    <row r="473">
      <c r="A473" s="3" t="inlineStr">
        <is>
          <t>PREMIER-18 4200K</t>
        </is>
      </c>
      <c r="B473" s="2" t="inlineStr">
        <is>
          <t>Home PREMIER-18 4200K LED fényforrás, 18 W, 1850 lm, E27, 4200 K</t>
        </is>
      </c>
      <c r="C473" s="1" t="n">
        <v>1290.0</v>
      </c>
      <c r="D473" s="7" t="n">
        <f>HYPERLINK("https://www.somogyi.hu/product/home-premier-18-4200k-led-fenyforras-18-w-1850-lm-e27-4200-k-premier-18-4200k-17794","https://www.somogyi.hu/product/home-premier-18-4200k-led-fenyforras-18-w-1850-lm-e27-4200-k-premier-18-4200k-17794")</f>
        <v>0.0</v>
      </c>
      <c r="E473" s="7" t="n">
        <f>HYPERLINK("https://www.somogyi.hu/data/img/product_main_images/small/17794.jpg","https://www.somogyi.hu/data/img/product_main_images/small/17794.jpg")</f>
        <v>0.0</v>
      </c>
      <c r="F473" s="2" t="inlineStr">
        <is>
          <t>8680985556420</t>
        </is>
      </c>
      <c r="G473" s="4" t="inlineStr">
        <is>
          <t xml:space="preserve"> • fényforrás típusa: SMD LED 
 • fényforrás kialakítása: körte 
 • teljesítmény: 18 W 
 • élettartam: 25.000 h 
 • energiafogyasztás: súlyozott energiafogyasztás: 18 kWh/1000 h 
 • foglalat: E27 
 • színhőmérséklet: 4200 K 
 • fényerő: 1850 lm 
 • energiahatékonysági osztály: F 
 • egyéb információ: a termék 1:1 méretben nyomtatható energiacímkéje megtalálható a weboldal„Letölthető dokumentumok” menüpontjában</t>
        </is>
      </c>
    </row>
    <row r="474">
      <c r="A474" s="3" t="inlineStr">
        <is>
          <t>DARK-10 4200K</t>
        </is>
      </c>
      <c r="B474" s="2" t="inlineStr">
        <is>
          <t>Home DARK-10 4200K LED fényforrás, 10 W, 1032 lm, E27, 4200 K</t>
        </is>
      </c>
      <c r="C474" s="1" t="n">
        <v>2590.0</v>
      </c>
      <c r="D474" s="7" t="n">
        <f>HYPERLINK("https://www.somogyi.hu/product/home-dark-10-4200k-led-fenyforras-10-w-1032-lm-e27-4200-k-dark-10-4200k-17795","https://www.somogyi.hu/product/home-dark-10-4200k-led-fenyforras-10-w-1032-lm-e27-4200-k-dark-10-4200k-17795")</f>
        <v>0.0</v>
      </c>
      <c r="E474" s="7" t="n">
        <f>HYPERLINK("https://www.somogyi.hu/data/img/product_main_images/small/17795.jpg","https://www.somogyi.hu/data/img/product_main_images/small/17795.jpg")</f>
        <v>0.0</v>
      </c>
      <c r="F474" s="2" t="inlineStr">
        <is>
          <t>8680985586281</t>
        </is>
      </c>
      <c r="G474" s="4" t="inlineStr">
        <is>
          <t xml:space="preserve"> • fényforrás típusa: LED 
 • fényforrás kialakítása: körte 
 • teljesítmény: 10 W 
 • élettartam: 30.000 h 
 • energiafogyasztás: 10 kWh / 1000 h 
 • foglalat: E27 
 • színhőmérséklet: 4200 K 
 • fényerő: 1032 lm 
 • energiahatékonysági osztály: F 
 • egyéb információ: fényérzékelés: bekapcsolás: &lt;15 lux • kikapcsolás: &gt;25-30 lux</t>
        </is>
      </c>
    </row>
    <row r="475">
      <c r="A475" s="3" t="inlineStr">
        <is>
          <t>UFO PRO-30 6400K</t>
        </is>
      </c>
      <c r="B475" s="2" t="inlineStr">
        <is>
          <t>Home UFO PRO-30 6400K LED fényforrás, 30 W, E27, 6400 K</t>
        </is>
      </c>
      <c r="C475" s="1" t="n">
        <v>4390.0</v>
      </c>
      <c r="D475" s="7" t="n">
        <f>HYPERLINK("https://www.somogyi.hu/product/home-ufo-pro-30-6400k-led-fenyforras-30-w-e27-6400-k-ufo-pro-30-6400k-17798","https://www.somogyi.hu/product/home-ufo-pro-30-6400k-led-fenyforras-30-w-e27-6400-k-ufo-pro-30-6400k-17798")</f>
        <v>0.0</v>
      </c>
      <c r="E475" s="7" t="n">
        <f>HYPERLINK("https://www.somogyi.hu/data/img/product_main_images/small/17798.jpg","https://www.somogyi.hu/data/img/product_main_images/small/17798.jpg")</f>
        <v>0.0</v>
      </c>
      <c r="F475" s="2" t="inlineStr">
        <is>
          <t>8680985564050</t>
        </is>
      </c>
      <c r="G475" s="4" t="inlineStr">
        <is>
          <t xml:space="preserve"> • fényforrás típusa: LED 
 • teljesítmény: 30 W 
 • élettartam: 25.000 h 
 • energiafogyasztás: 30 kWh / 1000 h 
 • foglalat: E27 
 • színhőmérséklet: 6400 K 
 • fényerő: 3050 lm 
 • tápellátás: 175 - 250 V~  / 50 Hz</t>
        </is>
      </c>
    </row>
    <row r="476">
      <c r="A476" s="3" t="inlineStr">
        <is>
          <t>LF 3/27</t>
        </is>
      </c>
      <c r="B476" s="2" t="inlineStr">
        <is>
          <t>Home LF 3/27 fáklyaláng LED fényforrás, 3in1, 3 W, 40 lm, E27, 1600 K</t>
        </is>
      </c>
      <c r="C476" s="1" t="n">
        <v>3690.0</v>
      </c>
      <c r="D476" s="7" t="n">
        <f>HYPERLINK("https://www.somogyi.hu/product/home-lf-3-27-faklyalang-led-fenyforras-3in1-3-w-40-lm-e27-1600-k-lf-3-27-17855","https://www.somogyi.hu/product/home-lf-3-27-faklyalang-led-fenyforras-3in1-3-w-40-lm-e27-1600-k-lf-3-27-17855")</f>
        <v>0.0</v>
      </c>
      <c r="E476" s="7" t="n">
        <f>HYPERLINK("https://www.somogyi.hu/data/img/product_main_images/small/17855.jpg","https://www.somogyi.hu/data/img/product_main_images/small/17855.jpg")</f>
        <v>0.0</v>
      </c>
      <c r="F476" s="2" t="inlineStr">
        <is>
          <t>5999084958770</t>
        </is>
      </c>
      <c r="G476" s="4" t="inlineStr">
        <is>
          <t>Az LF 3/27 LED fényforrás hangulatos fáklyaláng világítást kölcsönöz bármely E27-es foglalatú lámpának. Fáklyaláng, pulzáló fény és folyamatos fény üzemmódok kiválasztásához a villanykapcsoló többszöri be-ki kapcsolása szükséges. Ha a lámpába lefelé fordítva lehet csak  a fényforrást becsavarni, akkor a lángnyelv automatikusan megfordul.</t>
        </is>
      </c>
    </row>
    <row r="477">
      <c r="A477" s="3" t="inlineStr">
        <is>
          <t>CONVEX-10 4200K / GU10</t>
        </is>
      </c>
      <c r="B477" s="2" t="inlineStr">
        <is>
          <t>HOROZ CONVEX-10 4200K / GU10 LED fényforrás, 10 W, 800 lm, GU10, 4200 K</t>
        </is>
      </c>
      <c r="C477" s="1" t="n">
        <v>1190.0</v>
      </c>
      <c r="D477" s="7" t="n">
        <f>HYPERLINK("https://www.somogyi.hu/product/horoz-convex-10-4200k-gu10-led-fenyforras-10-w-800-lm-gu10-4200-k-convex-10-4200k-gu10-18707","https://www.somogyi.hu/product/horoz-convex-10-4200k-gu10-led-fenyforras-10-w-800-lm-gu10-4200-k-convex-10-4200k-gu10-18707")</f>
        <v>0.0</v>
      </c>
      <c r="E477" s="7" t="n">
        <f>HYPERLINK("https://www.somogyi.hu/data/img/product_main_images/small/18707.jpg","https://www.somogyi.hu/data/img/product_main_images/small/18707.jpg")</f>
        <v>0.0</v>
      </c>
      <c r="F477" s="2" t="inlineStr">
        <is>
          <t>8680985596501</t>
        </is>
      </c>
      <c r="G477" s="4" t="inlineStr">
        <is>
          <t>A Horoz CONVEX-10 4200K / GU10 LED fényforrás kiváló fényerejét az SMD LED technológia garantálja. Élettartama rendkívül magas, akár 25.000 órán át üzemel. A LED izzó A+ energiahatékonysági osztályba tartozik.
A termék teljesítménye: 10 W. Színhőmérséklete: 4200 K. Fényerőssége: 800 lm.
Foglalatának típusa: GU10.
Válasszon környezettudatosan LED fényforrást, mellyel energiát spórolhat meg!</t>
        </is>
      </c>
    </row>
    <row r="478">
      <c r="A478" s="3" t="inlineStr">
        <is>
          <t>PREMIER-10 4200K</t>
        </is>
      </c>
      <c r="B478" s="2" t="inlineStr">
        <is>
          <t>Home PREMIER-10 4200K LED fényforrás, 10 W, 1000 lm, E27, 4200 K</t>
        </is>
      </c>
      <c r="C478" s="1" t="n">
        <v>829.0</v>
      </c>
      <c r="D478" s="7" t="n">
        <f>HYPERLINK("https://www.somogyi.hu/product/home-premier-10-4200k-led-fenyforras-10-w-1000-lm-e27-4200-k-premier-10-4200k-14677","https://www.somogyi.hu/product/home-premier-10-4200k-led-fenyforras-10-w-1000-lm-e27-4200-k-premier-10-4200k-14677")</f>
        <v>0.0</v>
      </c>
      <c r="E478" s="7" t="n">
        <f>HYPERLINK("https://www.somogyi.hu/data/img/product_main_images/small/14677.jpg","https://www.somogyi.hu/data/img/product_main_images/small/14677.jpg")</f>
        <v>0.0</v>
      </c>
      <c r="F478" s="2" t="inlineStr">
        <is>
          <t>8680985531991</t>
        </is>
      </c>
      <c r="G478" s="4" t="inlineStr">
        <is>
          <t>A Horoz PREMIER-10 4200K LED fényforrás kiváló fényerejét az SMD LED technológia garantálja. Élettartama rendkívül magas, akár 25.000 órán át üzemel. A LED izzó A+ energiahatékonysági osztályba tartozik. 
A termék teljesítménye: 10 W. Színhőmérséklete: 4200 K. Fényerőssége: 1000 lm.
Foglalatának típusa: E27.
Válasszon környezettudatosan LED fényforrást, mellyel energiát spórolhat meg!</t>
        </is>
      </c>
    </row>
    <row r="479">
      <c r="A479" s="3" t="inlineStr">
        <is>
          <t>ULTRA-6 4200K</t>
        </is>
      </c>
      <c r="B479" s="2" t="inlineStr">
        <is>
          <t>Home ULTRA-6 4200K LED fényforrás, 6 W, E14, 4200 K</t>
        </is>
      </c>
      <c r="C479" s="1" t="n">
        <v>829.0</v>
      </c>
      <c r="D479" s="7" t="n">
        <f>HYPERLINK("https://www.somogyi.hu/product/home-ultra-6-4200k-led-fenyforras-6-w-e14-4200-k-ultra-6-4200k-15018","https://www.somogyi.hu/product/home-ultra-6-4200k-led-fenyforras-6-w-e14-4200-k-ultra-6-4200k-15018")</f>
        <v>0.0</v>
      </c>
      <c r="E479" s="7" t="n">
        <f>HYPERLINK("https://www.somogyi.hu/data/img/product_main_images/small/15018.jpg","https://www.somogyi.hu/data/img/product_main_images/small/15018.jpg")</f>
        <v>0.0</v>
      </c>
      <c r="F479" s="2" t="inlineStr">
        <is>
          <t>8680985533414</t>
        </is>
      </c>
      <c r="G479" s="4" t="inlineStr">
        <is>
          <t>A Horoz ULTRA-6 4200K LED fényforrás kiváló fényerejét az SMD LED technológia garantálja. Élettartama rendkívül magas, akár 25.000 órán át üzemel. A LED gyertya izzó A+ energiahatékonysági osztályba tartozik. 
A termék teljesítménye: 6 W. Színhőmérséklete: 4200 K. Fényerőssége: 480 lm.
Foglalatának típusa: E14.
Válasszon környezettudatosan LED fényforrást, mellyel energiát spórolhat meg!</t>
        </is>
      </c>
    </row>
    <row r="480">
      <c r="A480" s="3" t="inlineStr">
        <is>
          <t>ELITE-6 E14 4200K</t>
        </is>
      </c>
      <c r="B480" s="2" t="inlineStr">
        <is>
          <t>Home ELITE-6 E14 4200K LED fényforrás, 6 W, 510 lm, E14, 4200 K</t>
        </is>
      </c>
      <c r="C480" s="1" t="n">
        <v>699.0</v>
      </c>
      <c r="D480" s="7" t="n">
        <f>HYPERLINK("https://www.somogyi.hu/product/home-elite-6-e14-4200k-led-fenyforras-6-w-510-lm-e14-4200-k-elite-6-e14-4200k-15020","https://www.somogyi.hu/product/home-elite-6-e14-4200k-led-fenyforras-6-w-510-lm-e14-4200-k-elite-6-e14-4200k-15020")</f>
        <v>0.0</v>
      </c>
      <c r="E480" s="7" t="n">
        <f>HYPERLINK("https://www.somogyi.hu/data/img/product_main_images/small/15020.jpg","https://www.somogyi.hu/data/img/product_main_images/small/15020.jpg")</f>
        <v>0.0</v>
      </c>
      <c r="F480" s="2" t="inlineStr">
        <is>
          <t>8680985519203</t>
        </is>
      </c>
      <c r="G480" s="4" t="inlineStr">
        <is>
          <t>A Horoz ELITE-6 E14 4200K LED fényforrás kiváló fényerejét az SMD LED technológia garantálja. Élettartama rendkívül magas, akár 25.000 órán át üzemel. A LED izzó A+ energiahatékonysági osztályba tartozik. 
A termék teljesítménye: 6 W. Színhőmérséklete: 4200 K. Fényerőssége: 480 lm.
Foglalatának típusa: E14.
Válasszon környezettudatosan LED fényforrást, mellyel energiát spórolhat meg!</t>
        </is>
      </c>
    </row>
    <row r="481">
      <c r="A481" s="3" t="inlineStr">
        <is>
          <t>PREMIER-8 4200K</t>
        </is>
      </c>
      <c r="B481" s="2" t="inlineStr">
        <is>
          <t>Home PREMIER-8 4200K LED fényforrás, 8 W, 850 lm, E27, 4200 K</t>
        </is>
      </c>
      <c r="C481" s="1" t="n">
        <v>779.0</v>
      </c>
      <c r="D481" s="7" t="n">
        <f>HYPERLINK("https://www.somogyi.hu/product/home-premier-8-4200k-led-fenyforras-8-w-850-lm-e27-4200-k-premier-8-4200k-14676","https://www.somogyi.hu/product/home-premier-8-4200k-led-fenyforras-8-w-850-lm-e27-4200-k-premier-8-4200k-14676")</f>
        <v>0.0</v>
      </c>
      <c r="E481" s="7" t="n">
        <f>HYPERLINK("https://www.somogyi.hu/data/img/product_main_images/small/14676.jpg","https://www.somogyi.hu/data/img/product_main_images/small/14676.jpg")</f>
        <v>0.0</v>
      </c>
      <c r="F481" s="2" t="inlineStr">
        <is>
          <t>8680985532189</t>
        </is>
      </c>
      <c r="G481" s="4" t="inlineStr">
        <is>
          <t>A Horoz PREMIER-8 4200K LED fényforrás kiváló fényerejét az SMD LED technológia garantálja. Élettartama rendkívül magas, akár 25.000 órán át üzemel. A LED izzó A+ energiahatékonysági osztályba tartozik. 
A termék teljesítménye: 8 W. Színhőmérséklete: 4200 K. Fényerőssége: 850 lm.
Foglalatának típusa: E27.
Válasszon környezettudatosan LED fényforrást, mellyel energiát spórolhat meg!</t>
        </is>
      </c>
    </row>
    <row r="482">
      <c r="A482" s="3" t="inlineStr">
        <is>
          <t>LS 5000RGB</t>
        </is>
      </c>
      <c r="B482" s="2" t="inlineStr">
        <is>
          <t>Home LS 5000RGB RGB LED szalag szett, 30 db SMD 5050 LED/m, ragasztható, 5m, 400 lm/m, 4,8 W/m</t>
        </is>
      </c>
      <c r="C482" s="1" t="n">
        <v>10590.0</v>
      </c>
      <c r="D482" s="7" t="n">
        <f>HYPERLINK("https://www.somogyi.hu/product/home-ls-5000rgb-rgb-led-szalag-szett-30-db-smd-5050-led-m-ragaszthato-5m-400-lm-m-4-8-w-m-ls-5000rgb-16958","https://www.somogyi.hu/product/home-ls-5000rgb-rgb-led-szalag-szett-30-db-smd-5050-led-m-ragaszthato-5m-400-lm-m-4-8-w-m-ls-5000rgb-16958")</f>
        <v>0.0</v>
      </c>
      <c r="E482" s="7" t="n">
        <f>HYPERLINK("https://www.somogyi.hu/data/img/product_main_images/small/16958.jpg","https://www.somogyi.hu/data/img/product_main_images/small/16958.jpg")</f>
        <v>0.0</v>
      </c>
      <c r="F482" s="2" t="inlineStr">
        <is>
          <t>5999084949907</t>
        </is>
      </c>
      <c r="G482" s="4" t="inlineStr">
        <is>
          <t>Az RGB LED szalag szett 150 LED –et tartalmaz 5 m hosszban.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képzelete szab határt.</t>
        </is>
      </c>
    </row>
    <row r="483">
      <c r="A483" s="3" t="inlineStr">
        <is>
          <t>LS 5000SOUND</t>
        </is>
      </c>
      <c r="B483" s="2" t="inlineStr">
        <is>
          <t>Home LS 5000SOUND zenére villogó RGB LED szalag szett, 30 db SMD 5050 LED/m, ragasztható, 5m, 400 lm/m, 4,8 W/m</t>
        </is>
      </c>
      <c r="C483" s="1" t="n">
        <v>10590.0</v>
      </c>
      <c r="D483" s="7" t="n">
        <f>HYPERLINK("https://www.somogyi.hu/product/home-ls-5000sound-zenere-villogo-rgb-led-szalag-szett-30-db-smd-5050-led-m-ragaszthato-5m-400-lm-m-4-8-w-m-ls-5000sound-16959","https://www.somogyi.hu/product/home-ls-5000sound-zenere-villogo-rgb-led-szalag-szett-30-db-smd-5050-led-m-ragaszthato-5m-400-lm-m-4-8-w-m-ls-5000sound-16959")</f>
        <v>0.0</v>
      </c>
      <c r="E483" s="7" t="n">
        <f>HYPERLINK("https://www.somogyi.hu/data/img/product_main_images/small/16959.jpg","https://www.somogyi.hu/data/img/product_main_images/small/16959.jpg")</f>
        <v>0.0</v>
      </c>
      <c r="F483" s="2" t="inlineStr">
        <is>
          <t>5999084949914</t>
        </is>
      </c>
      <c r="G483" s="4" t="inlineStr">
        <is>
          <t>A zenére villogó LED RGB szalag szett 150 LED –et tartalmaz 5 m hosszban, amely beépített kondenzátor mikrofon vezérléssel zene ütemére villogó fényeffekt hoz létre.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képzeletünk szab határt.</t>
        </is>
      </c>
    </row>
    <row r="484">
      <c r="A484" s="3" t="inlineStr">
        <is>
          <t>PLUS-10 4200K / GU10</t>
        </is>
      </c>
      <c r="B484" s="2" t="inlineStr">
        <is>
          <t>Home PLUS-10 4200K / GU10 LED fényforrás, 10 W, 800 lm, GU10, 4200 K</t>
        </is>
      </c>
      <c r="C484" s="1" t="n">
        <v>1190.0</v>
      </c>
      <c r="D484" s="7" t="n">
        <f>HYPERLINK("https://www.somogyi.hu/product/home-plus-10-4200k-gu10-led-fenyforras-10-w-800-lm-gu10-4200-k-plus-10-4200k-gu10-17797","https://www.somogyi.hu/product/home-plus-10-4200k-gu10-led-fenyforras-10-w-800-lm-gu10-4200-k-plus-10-4200k-gu10-17797")</f>
        <v>0.0</v>
      </c>
      <c r="E484" s="7" t="n">
        <f>HYPERLINK("https://www.somogyi.hu/data/img/product_main_images/small/17797.jpg","https://www.somogyi.hu/data/img/product_main_images/small/17797.jpg")</f>
        <v>0.0</v>
      </c>
      <c r="F484" s="2" t="inlineStr">
        <is>
          <t>8680985571300</t>
        </is>
      </c>
      <c r="G484" s="4" t="inlineStr">
        <is>
          <t xml:space="preserve"> • energiahatékonyság: F 
 • technológia:SMD LED  
 • feszültség: 100-250 V~  
 • teljesítmény: 10 W  
 • súlyozott energiafogyasztás: 10 kWh/1000 h  
 • foglalat típusa: GU10 
 • színhőmérséklet: 4200 K  
 • élettartam: 25000 h 
 • fényáram: 800 lm 
 • A termék 1:1 méretben nyomtatható energiacímkéje megtalálható a weboldal „Letölthető tartalmak” menüpontjában.</t>
        </is>
      </c>
    </row>
    <row r="485">
      <c r="A485" s="3" t="inlineStr">
        <is>
          <t>PREMIER-12 4200K</t>
        </is>
      </c>
      <c r="B485" s="2" t="inlineStr">
        <is>
          <t>Home PREMIER-12 4200K LED fényforrás, 12 W, 1150 lm, E27, 4200 K</t>
        </is>
      </c>
      <c r="C485" s="1" t="n">
        <v>949.0</v>
      </c>
      <c r="D485" s="7" t="n">
        <f>HYPERLINK("https://www.somogyi.hu/product/home-premier-12-4200k-led-fenyforras-12-w-1150-lm-e27-4200-k-premier-12-4200k-15026","https://www.somogyi.hu/product/home-premier-12-4200k-led-fenyforras-12-w-1150-lm-e27-4200-k-premier-12-4200k-15026")</f>
        <v>0.0</v>
      </c>
      <c r="E485" s="7" t="n">
        <f>HYPERLINK("https://www.somogyi.hu/data/img/product_main_images/small/15026.jpg","https://www.somogyi.hu/data/img/product_main_images/small/15026.jpg")</f>
        <v>0.0</v>
      </c>
      <c r="F485" s="2" t="inlineStr">
        <is>
          <t>8680985519814</t>
        </is>
      </c>
      <c r="G485" s="4" t="inlineStr">
        <is>
          <t>A Horoz PREMIER-12 4200K LED fényforrás kiváló fényerejét az SMD LED technológia garantálja. Élettartama rendkívül magas, akár 25.000 órán át üzemel. A LED izzó A+ energiahatékonysági osztályba tartozik. 
A termék teljesítménye: 12 W. Színhőmérséklete: 4200 K. Fényerőssége: 1050 lm.
Foglalatának típusa: E27.
Válasszon környezettudatosan LED fényforrást, mellyel energiát spórolhat meg!</t>
        </is>
      </c>
    </row>
    <row r="486">
      <c r="A486" s="3" t="inlineStr">
        <is>
          <t>PREMIER-15 4200K</t>
        </is>
      </c>
      <c r="B486" s="2" t="inlineStr">
        <is>
          <t>Home PREMIER-15 4200K LED fényforrás, 15 W, 1500 lm, E27, 4200 K</t>
        </is>
      </c>
      <c r="C486" s="1" t="n">
        <v>1090.0</v>
      </c>
      <c r="D486" s="7" t="n">
        <f>HYPERLINK("https://www.somogyi.hu/product/home-premier-15-4200k-led-fenyforras-15-w-1500-lm-e27-4200-k-premier-15-4200k-15030","https://www.somogyi.hu/product/home-premier-15-4200k-led-fenyforras-15-w-1500-lm-e27-4200-k-premier-15-4200k-15030")</f>
        <v>0.0</v>
      </c>
      <c r="E486" s="7" t="n">
        <f>HYPERLINK("https://www.somogyi.hu/data/img/product_main_images/small/15030.jpg","https://www.somogyi.hu/data/img/product_main_images/small/15030.jpg")</f>
        <v>0.0</v>
      </c>
      <c r="F486" s="2" t="inlineStr">
        <is>
          <t>8680985523132</t>
        </is>
      </c>
      <c r="G486" s="4" t="inlineStr">
        <is>
          <t>A Horoz PREMIER-15 4200K LED fényforrás kiváló fényerejét az SMD LED technológia garantálja. Élettartama rendkívül magas, akár 25.000 órán át üzemel. A LED izzó A+ energiahatékonysági osztályba tartozik. 
A termék teljesítménye: 15 W. Színhőmérséklete: 4200 K. Fényerőssége: 1400 lm.
Foglalatának típusa: E27.
Válasszon környezettudatosan LED fényforrást, mellyel energiát spórolhat meg!</t>
        </is>
      </c>
    </row>
    <row r="487">
      <c r="A487" s="6" t="inlineStr">
        <is>
          <t xml:space="preserve">   Világítás / Napelemes világítás</t>
        </is>
      </c>
      <c r="B487" s="6" t="inlineStr">
        <is>
          <t/>
        </is>
      </c>
      <c r="C487" s="6" t="inlineStr">
        <is>
          <t/>
        </is>
      </c>
      <c r="D487" s="6" t="inlineStr">
        <is>
          <t/>
        </is>
      </c>
      <c r="E487" s="6" t="inlineStr">
        <is>
          <t/>
        </is>
      </c>
      <c r="F487" s="6" t="inlineStr">
        <is>
          <t/>
        </is>
      </c>
      <c r="G487" s="6" t="inlineStr">
        <is>
          <t/>
        </is>
      </c>
    </row>
    <row r="488">
      <c r="A488" s="3" t="inlineStr">
        <is>
          <t>MX 720</t>
        </is>
      </c>
      <c r="B488" s="2" t="inlineStr">
        <is>
          <t>Home MX 720 napelemes kerti lámpa, műanyag, napelem és töltő, automatikus, 1 LED, időjárásálló</t>
        </is>
      </c>
      <c r="C488" s="1" t="n">
        <v>959.0</v>
      </c>
      <c r="D488" s="7" t="n">
        <f>HYPERLINK("https://www.somogyi.hu/product/home-mx-720-napelemes-kerti-lampa-muanyag-napelem-es-tolto-automatikus-1-led-idojarasallo-mx-720-14409","https://www.somogyi.hu/product/home-mx-720-napelemes-kerti-lampa-muanyag-napelem-es-tolto-automatikus-1-led-idojarasallo-mx-720-14409")</f>
        <v>0.0</v>
      </c>
      <c r="E488" s="7" t="n">
        <f>HYPERLINK("https://www.somogyi.hu/data/img/product_main_images/small/14409.jpg","https://www.somogyi.hu/data/img/product_main_images/small/14409.jpg")</f>
        <v>0.0</v>
      </c>
      <c r="F488" s="2" t="inlineStr">
        <is>
          <t>5999084924577</t>
        </is>
      </c>
      <c r="G488" s="4" t="inlineStr">
        <is>
          <t>Öltöztesse fel kertjét az éjszakára varázslatos fényekkel! Ehhez mi sem nyújthat egyszerűbb megoldást, mint a napelemes kerti lámpa. A termék esztétikus külsővel rendelkezik, továbbá minőségi műanyag alapú kivitelezésben kapható. A napelem a természetes fényben tölti az akkut. Be- és kikapcsolódása automatikus, így Önnek csak arra lesz gondja, hogy a földbe leszúrja a lámpát. Cserélhető (1,2 V/200 mAh) AAA NiMH akkumulátorral rendelkezik. Mérete: ∅4,9 X 68 cm. Válassza a minőségi termékeket és rendeljen webáruházunkból.</t>
        </is>
      </c>
    </row>
    <row r="489">
      <c r="A489" s="3" t="inlineStr">
        <is>
          <t>MX716</t>
        </is>
      </c>
      <c r="B489" s="2" t="inlineStr">
        <is>
          <t>Home MX716 napelemes kerti lámpa, 12db-os display, műanyag, 2 db hidegfehér LED, kültéri, beltéri</t>
        </is>
      </c>
      <c r="C489" s="1" t="n">
        <v>919.0</v>
      </c>
      <c r="D489" s="7" t="n">
        <f>HYPERLINK("https://www.somogyi.hu/product/home-mx716-napelemes-kerti-lampa-12db-os-display-muanyag-2-db-hidegfeher-led-kulteri-belteri-mx716-18340","https://www.somogyi.hu/product/home-mx716-napelemes-kerti-lampa-12db-os-display-muanyag-2-db-hidegfeher-led-kulteri-belteri-mx716-18340")</f>
        <v>0.0</v>
      </c>
      <c r="E489" s="7" t="n">
        <f>HYPERLINK("https://www.somogyi.hu/data/img/product_main_images/small/18340.jpg","https://www.somogyi.hu/data/img/product_main_images/small/18340.jpg")</f>
        <v>0.0</v>
      </c>
      <c r="F489" s="2" t="inlineStr">
        <is>
          <t>5999084963583</t>
        </is>
      </c>
      <c r="G489" s="4" t="inlineStr">
        <is>
          <t>Egy mesésen megvilágított kertről vagy teraszról álmodik, ahol a fények magukkal ragadják a tekintetet? A Home MX716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Alakítsa át kertjét vagy teraszát a Home MX716 napelemes kerti lámpákkal, amelyek nem csak dekoratívak, hanem praktikusak is. Engedje, hogy ezek a lámpák vezessék az utat a kerti ösvényen, vagy varázslatos atmoszférát teremtsenek egy esti összejövetel során.</t>
        </is>
      </c>
    </row>
    <row r="490">
      <c r="A490" s="3" t="inlineStr">
        <is>
          <t>MX 639</t>
        </is>
      </c>
      <c r="B490" s="2" t="inlineStr">
        <is>
          <t>Home MX 639 napelemes kerti lámpa, gomba / bagoly / csiga, 2 db fehér LED, automatikus, akkumulátoros</t>
        </is>
      </c>
      <c r="C490" s="1" t="n">
        <v>2590.0</v>
      </c>
      <c r="D490" s="7" t="n">
        <f>HYPERLINK("https://www.somogyi.hu/product/home-mx-639-napelemes-kerti-lampa-gomba-bagoly-csiga-2-db-feher-led-automatikus-akkumulatoros-mx-639-17602","https://www.somogyi.hu/product/home-mx-639-napelemes-kerti-lampa-gomba-bagoly-csiga-2-db-feher-led-automatikus-akkumulatoros-mx-639-17602")</f>
        <v>0.0</v>
      </c>
      <c r="E490" s="7" t="n">
        <f>HYPERLINK("https://www.somogyi.hu/data/img/product_main_images/small/17602.jpg","https://www.somogyi.hu/data/img/product_main_images/small/17602.jpg")</f>
        <v>0.0</v>
      </c>
      <c r="F490" s="2" t="inlineStr">
        <is>
          <t>5999084956240</t>
        </is>
      </c>
      <c r="G490" s="4" t="inlineStr">
        <is>
          <t>Tegye kertjét vagy teraszát még varázslatosabbá bagoly/csiga/gomba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2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491">
      <c r="A491" s="3" t="inlineStr">
        <is>
          <t>MX643</t>
        </is>
      </c>
      <c r="B491" s="2" t="inlineStr">
        <is>
          <t>Home MX643 napelemes kerti lámpa, 2 db hidegfehér LED, polyresin, műanyag, 100 mAh akkumulátor (NiMH), kültéri, beltéri</t>
        </is>
      </c>
      <c r="C491" s="1" t="n">
        <v>2190.0</v>
      </c>
      <c r="D491" s="7" t="n">
        <f>HYPERLINK("https://www.somogyi.hu/product/home-mx643-napelemes-kerti-lampa-2-db-hidegfeher-led-polyresin-muanyag-100-mah-akkumulator-nimh-kulteri-belteri-mx643-18339","https://www.somogyi.hu/product/home-mx643-napelemes-kerti-lampa-2-db-hidegfeher-led-polyresin-muanyag-100-mah-akkumulator-nimh-kulteri-belteri-mx643-18339")</f>
        <v>0.0</v>
      </c>
      <c r="E491" s="7" t="n">
        <f>HYPERLINK("https://www.somogyi.hu/data/img/product_main_images/small/18339.jpg","https://www.somogyi.hu/data/img/product_main_images/small/18339.jpg")</f>
        <v>0.0</v>
      </c>
      <c r="F491" s="2" t="inlineStr">
        <is>
          <t>5999084963576</t>
        </is>
      </c>
      <c r="G491" s="4" t="inlineStr">
        <is>
          <t>Elgondolkodott már azon, hogyan varázsolhatja kertjét mesevilággá? A Home MX643 napelemes kerti lámpák éppen erre szolgálnak! Egy tehén, bárány, kakas és malac formájú figurákban rejtőző lámpák nem csupán a nappal szerzett napfényt használják fel, hanem vidám karakterükkel is feldobják a környezetet.
A polyresin és műanyag alapanyagból készült lámpák kül- és beltérben egyaránt használhatóak, így az otthon bármely pontját megtöltheti derűs fényekkel. Minden állatka 2 db hidegfehér LED-del van felszerelve, ezzel biztosítva a hangulatos megvilágítást. Az 1x 1,2V 1/3AAA 100 mAh akkumulátorral (NiMH) működő lámpák mérete ideális a diszkrét elhelyezéshez: 9,4 x 8,5 x 13 cm.
A lámpák 12 darabos display-ben kaphatók. Fedezze fel a Home MX643 napelemes kerti lámpák varázsát, és hozzon játékos fényeket a szabadba!</t>
        </is>
      </c>
    </row>
    <row r="492">
      <c r="A492" s="3" t="inlineStr">
        <is>
          <t>CDS 93</t>
        </is>
      </c>
      <c r="B492" s="2" t="inlineStr">
        <is>
          <t>Home CDS 93 szolár mécses, fém / műanyag, narancssárga LED, napelem, akkumulátoros</t>
        </is>
      </c>
      <c r="C492" s="1" t="n">
        <v>4990.0</v>
      </c>
      <c r="D492" s="7" t="n">
        <f>HYPERLINK("https://www.somogyi.hu/product/home-cds-93-szolar-mecses-fem-muanyag-narancssarga-led-napelem-akkumulatoros-cds-93-17606","https://www.somogyi.hu/product/home-cds-93-szolar-mecses-fem-muanyag-narancssarga-led-napelem-akkumulatoros-cds-93-17606")</f>
        <v>0.0</v>
      </c>
      <c r="E492" s="7" t="n">
        <f>HYPERLINK("https://www.somogyi.hu/data/img/product_main_images/small/17606.jpg","https://www.somogyi.hu/data/img/product_main_images/small/17606.jpg")</f>
        <v>0.0</v>
      </c>
      <c r="F492" s="2" t="inlineStr">
        <is>
          <t>5999084956288</t>
        </is>
      </c>
      <c r="G492" s="4" t="inlineStr">
        <is>
          <t>Tegye kertjét vagy teraszát még varázslatosabbá 3 db-os szolár mécses szettünkkel.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narancssárga LED és mécsesláng effektus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493">
      <c r="A493" s="3" t="inlineStr">
        <is>
          <t>MX645</t>
        </is>
      </c>
      <c r="B493" s="2" t="inlineStr">
        <is>
          <t>Home MX645 napelemes kerti lámpa, katica forma, 2 db hidegfehér LED, políresin, 40 mAh akkumulátor (NiMH), kültéri, beltéri</t>
        </is>
      </c>
      <c r="C493" s="1" t="n">
        <v>2490.0</v>
      </c>
      <c r="D493" s="7" t="n">
        <f>HYPERLINK("https://www.somogyi.hu/product/home-mx645-napelemes-kerti-lampa-katica-forma-2-db-hidegfeher-led-poliresin-40-mah-akkumulator-nimh-kulteri-belteri-mx645-18338","https://www.somogyi.hu/product/home-mx645-napelemes-kerti-lampa-katica-forma-2-db-hidegfeher-led-poliresin-40-mah-akkumulator-nimh-kulteri-belteri-mx645-18338")</f>
        <v>0.0</v>
      </c>
      <c r="E493" s="7" t="n">
        <f>HYPERLINK("https://www.somogyi.hu/data/img/product_main_images/small/18338.jpg","https://www.somogyi.hu/data/img/product_main_images/small/18338.jpg")</f>
        <v>0.0</v>
      </c>
      <c r="F493" s="2" t="inlineStr">
        <is>
          <t>5999084963569</t>
        </is>
      </c>
      <c r="G493" s="4" t="inlineStr">
        <is>
          <t>Egy különleges kiegészítőt keres otthona dekorációjához? A Home MX645 napelemes kerti lámpa, katica formájában, nem csak egyedi stílust kölcsönöz, hanem környezetbarát megvilágítási megoldást is nyújt. A katica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katica kerti lámpa elrepítse a hangulatos esték világába. Készüljön az estékre a Home MX645 napelemes kerti lámpával!</t>
        </is>
      </c>
    </row>
    <row r="494">
      <c r="A494" s="3" t="inlineStr">
        <is>
          <t>MX644</t>
        </is>
      </c>
      <c r="B494" s="2" t="inlineStr">
        <is>
          <t>Home MX644 napelemes kerti lámpa, méhecske forma, 2 db hidegfehér LED, políresin, 40 mAh akkumulátor (NiMH), kültéri, beltéri</t>
        </is>
      </c>
      <c r="C494" s="1" t="n">
        <v>2490.0</v>
      </c>
      <c r="D494" s="7" t="n">
        <f>HYPERLINK("https://www.somogyi.hu/product/home-mx644-napelemes-kerti-lampa-mehecske-forma-2-db-hidegfeher-led-poliresin-40-mah-akkumulator-nimh-kulteri-belteri-mx644-18337","https://www.somogyi.hu/product/home-mx644-napelemes-kerti-lampa-mehecske-forma-2-db-hidegfeher-led-poliresin-40-mah-akkumulator-nimh-kulteri-belteri-mx644-18337")</f>
        <v>0.0</v>
      </c>
      <c r="E494" s="7" t="n">
        <f>HYPERLINK("https://www.somogyi.hu/data/img/product_main_images/small/18337.jpg","https://www.somogyi.hu/data/img/product_main_images/small/18337.jpg")</f>
        <v>0.0</v>
      </c>
      <c r="F494" s="2" t="inlineStr">
        <is>
          <t>5999084963552</t>
        </is>
      </c>
      <c r="G494" s="4" t="inlineStr">
        <is>
          <t>Egy különleges kiegészítőt keres otthona dekorációjához? A Home MX644 napelemes kerti lámpa, méhecske formájában, nem csak egyedi stílust kölcsönöz, hanem környezetbarát megvilágítási megoldást is nyújt. A méhecske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méhecske kerti lámpa elrepítse a hangulatos esték világába. Készüljön az estékre a Home MX644 napelemes kerti lámpával!</t>
        </is>
      </c>
    </row>
    <row r="495">
      <c r="A495" s="3" t="inlineStr">
        <is>
          <t>MX816</t>
        </is>
      </c>
      <c r="B495" s="2" t="inlineStr">
        <is>
          <t>Home MX816 napelemes kerti lámpa, 12db-os display, műanyag, 1 db melegfehér LED, kültéri, beltéri</t>
        </is>
      </c>
      <c r="C495" s="1" t="n">
        <v>979.0</v>
      </c>
      <c r="D495" s="7" t="n">
        <f>HYPERLINK("https://www.somogyi.hu/product/home-mx816-napelemes-kerti-lampa-12db-os-display-muanyag-1-db-melegfeher-led-kulteri-belteri-mx816-18343","https://www.somogyi.hu/product/home-mx816-napelemes-kerti-lampa-12db-os-display-muanyag-1-db-melegfeher-led-kulteri-belteri-mx816-18343")</f>
        <v>0.0</v>
      </c>
      <c r="E495" s="7" t="n">
        <f>HYPERLINK("https://www.somogyi.hu/data/img/product_main_images/small/18343.jpg","https://www.somogyi.hu/data/img/product_main_images/small/18343.jpg")</f>
        <v>0.0</v>
      </c>
      <c r="F495" s="2" t="inlineStr">
        <is>
          <t>5999084963613</t>
        </is>
      </c>
      <c r="G495" s="4" t="inlineStr">
        <is>
          <t>Egy mesésen megvilágított kertről vagy teraszról álmodik, ahol a fények magukkal ragadják a tekintetet? A Home MX816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melegfehér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MX816 napelemes kerti lámpákkal, amelyek nem csak dekoratívak, hanem praktikusak is. Engedje, hogy ezek a lámpák vezessék az utat a kerti ösvényen, vagy varázslatos atmoszférát teremtsenek egy esti összejövetel során.</t>
        </is>
      </c>
    </row>
    <row r="496">
      <c r="A496" s="3" t="inlineStr">
        <is>
          <t>FLP30SOLAR</t>
        </is>
      </c>
      <c r="B496" s="2" t="inlineStr">
        <is>
          <t>Home FLP30SOLAR napelemes LED lámpa, 30 lm, PIR mozgásérzékelő, 3-5m, 2 db hidegfehér SMD LED, energiatakarékos, fém + műanyag, IP44</t>
        </is>
      </c>
      <c r="C496" s="1" t="n">
        <v>3990.0</v>
      </c>
      <c r="D496" s="7" t="n">
        <f>HYPERLINK("https://www.somogyi.hu/product/home-flp30solar-napelemes-led-lampa-30-lm-pir-mozgaserzekelo-3-5m-2-db-hidegfeher-smd-led-energiatakarekos-fem-muanyag-ip44-flp30solar-18344","https://www.somogyi.hu/product/home-flp30solar-napelemes-led-lampa-30-lm-pir-mozgaserzekelo-3-5m-2-db-hidegfeher-smd-led-energiatakarekos-fem-muanyag-ip44-flp30solar-18344")</f>
        <v>0.0</v>
      </c>
      <c r="E496" s="7" t="n">
        <f>HYPERLINK("https://www.somogyi.hu/data/img/product_main_images/small/18344.jpg","https://www.somogyi.hu/data/img/product_main_images/small/18344.jpg")</f>
        <v>0.0</v>
      </c>
      <c r="F496" s="2" t="inlineStr">
        <is>
          <t>5999084963620</t>
        </is>
      </c>
      <c r="G496" s="4" t="inlineStr">
        <is>
          <t>Ön is szeretne egy megbízható és energiahatékony megoldást a kert vagy udvar megvilágítására? A Home FLP30SOLAR napelemes LED lámpa tökéletes választás azok számára, akik korszerű és fenntartható megoldást keresnek. Ez a kifinomult lámpa 2 db hidegfehér SMD LED-del rendelkezik, amely sötétedéskor energiatakarékos üzemmódban világít, de mozgás érzékelése esetén az alsó fényforrás is bekapcsolódik, biztosítva ezzel a terület megfelelő megvilágítását.
A PIR mozgásérzékelő 3 - 5 méteres érzékelési távolságával gondoskodik arról, hogy a fény valóban csak akkor kapcsoljon, amikor szükség van rá. A 30 lumen fényerő és a hideg színhőmérséklet garantálja a tiszta, természetes és erős fényt. Az IP44 védelemnek köszönhetően a reflektor ellenáll a freccsenő víznek, így kültéren is bátran használható.
A műanyag alapanyag biztosítja, hogy a lámpa könnyedén és biztonságosan telepíthető legyen bármilyen kültéri helyszínen. Az akkumulátoros tápellátásnak köszönhetően nincsen szükség külső áramforrásra, a lámpa önállóan, napenergiával működik, ami jelentősen csökkenti az üzemeltetési költségeket.
Válassza a Home FLP30SOLAR napelemes LED lámpát, hogy otthona külső területei biztonságosan és takarékosan legyenek megvilágítva.</t>
        </is>
      </c>
    </row>
    <row r="497">
      <c r="A497" s="3" t="inlineStr">
        <is>
          <t>FLP250SOLAR</t>
        </is>
      </c>
      <c r="B497" s="2" t="inlineStr">
        <is>
          <t>Home FLP250SOLAR napelemes LED reflektor, 250 lm, PIR mozgásérzékelő, 120° 5m, 56 db hidegfehér SMD LED, energiatakarékos, műanyag, IP44</t>
        </is>
      </c>
      <c r="C497" s="1" t="n">
        <v>5990.0</v>
      </c>
      <c r="D497" s="7" t="n">
        <f>HYPERLINK("https://www.somogyi.hu/product/home-flp250solar-napelemes-led-reflektor-250-lm-pir-mozgaserzekelo-120-5m-56-db-hidegfeher-smd-led-energiatakarekos-muanyag-ip44-flp250solar-18346","https://www.somogyi.hu/product/home-flp250solar-napelemes-led-reflektor-250-lm-pir-mozgaserzekelo-120-5m-56-db-hidegfeher-smd-led-energiatakarekos-muanyag-ip44-flp250solar-18346")</f>
        <v>0.0</v>
      </c>
      <c r="E497" s="7" t="n">
        <f>HYPERLINK("https://www.somogyi.hu/data/img/product_main_images/small/18346.jpg","https://www.somogyi.hu/data/img/product_main_images/small/18346.jpg")</f>
        <v>0.0</v>
      </c>
      <c r="F497" s="2" t="inlineStr">
        <is>
          <t>5999084963644</t>
        </is>
      </c>
      <c r="G497" s="4" t="inlineStr">
        <is>
          <t>Ön is szeretne egy megbízható és energiahatékony megoldást a kert vagy udvar megvilágítására? A Home FLP250SOLAR napelemes LED reflektor tökéletes választás azok számára, akik korszerű és fenntartható megoldást keresnek. Ez a kifinomult reflektor 56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250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FLP250SOLAR napelemes LED reflektort, hogy otthona külső területei biztonságosan és takarékosan legyenek megvilágítva.</t>
        </is>
      </c>
    </row>
    <row r="498">
      <c r="A498" s="3" t="inlineStr">
        <is>
          <t>MX 802/4</t>
        </is>
      </c>
      <c r="B498" s="2" t="inlineStr">
        <is>
          <t>Home MX 802/4 napelemes kerti lámpa szett, 4 db, 1 db LED, fém és műanyag, automatikus, kristáylszerű fej</t>
        </is>
      </c>
      <c r="C498" s="1" t="n">
        <v>3990.0</v>
      </c>
      <c r="D498" s="7" t="n">
        <f>HYPERLINK("https://www.somogyi.hu/product/home-mx-802-4-napelemes-kerti-lampa-szett-4-db-1-db-led-fem-es-muanyag-automatikus-kristaylszeru-fej-mx-802-4-14410","https://www.somogyi.hu/product/home-mx-802-4-napelemes-kerti-lampa-szett-4-db-1-db-led-fem-es-muanyag-automatikus-kristaylszeru-fej-mx-802-4-14410")</f>
        <v>0.0</v>
      </c>
      <c r="E498" s="7" t="n">
        <f>HYPERLINK("https://www.somogyi.hu/data/img/product_main_images/small/14410.jpg","https://www.somogyi.hu/data/img/product_main_images/small/14410.jpg")</f>
        <v>0.0</v>
      </c>
      <c r="F498" s="2" t="inlineStr">
        <is>
          <t>5999084924584</t>
        </is>
      </c>
      <c r="G498" s="4" t="inlineStr">
        <is>
          <t>A napelemes kerti lámpa szett kiváló lehetőséget nyújt arra, hogy varázslatos fényekbe borítsuk udvarunkat, persze ennél többet tud, hiszen egy jól kivilágított udvar a betolakodókat is visszatartja. A fényforrást darabonként 1 db fehér LED biztosítja. A napelem természetes fényben tölti az akkut. Be- és kikapcsolódása automatikus, így Önnek csak arra lesz gondja, hogy a földbe leszúrja a lámpát. A termék esztétikus külsejét nagyban növeli a kristályszerű fejrész. 
Cserélhető (1,2 V/200 mAh) AAA NiMH akkumulátorral rendelkezik. Mérete: ∅8,9 X 34,5 cm. Válassza a minőségi termékeket és rendeljen webáruházunkból.</t>
        </is>
      </c>
    </row>
    <row r="499">
      <c r="A499" s="3" t="inlineStr">
        <is>
          <t>MX 618P</t>
        </is>
      </c>
      <c r="B499" s="2" t="inlineStr">
        <is>
          <t>Home MX 618P napelemes kerti dekoráció, 1 db LED, automatikus, 8 óra üzemidő, pillangó</t>
        </is>
      </c>
      <c r="C499" s="1" t="n">
        <v>1990.0</v>
      </c>
      <c r="D499" s="7" t="n">
        <f>HYPERLINK("https://www.somogyi.hu/product/home-mx-618p-napelemes-kerti-dekoracio-1-db-led-automatikus-8-ora-uzemido-pillango-mx-618p-16706","https://www.somogyi.hu/product/home-mx-618p-napelemes-kerti-dekoracio-1-db-led-automatikus-8-ora-uzemido-pillango-mx-618p-16706")</f>
        <v>0.0</v>
      </c>
      <c r="E499" s="7" t="n">
        <f>HYPERLINK("https://www.somogyi.hu/data/img/product_main_images/small/16706.jpg","https://www.somogyi.hu/data/img/product_main_images/small/16706.jpg")</f>
        <v>0.0</v>
      </c>
      <c r="F499" s="2" t="inlineStr">
        <is>
          <t>5999084947385</t>
        </is>
      </c>
      <c r="G499" s="4" t="inlineStr">
        <is>
          <t>Az MX 618 P Napelemes kerti dekorációval dobja fel teraszát vagy kertjét. A pillangó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00">
      <c r="A500" s="3" t="inlineStr">
        <is>
          <t>MX 624</t>
        </is>
      </c>
      <c r="B500" s="2" t="inlineStr">
        <is>
          <t>Home MX 624 napelemes kerti lámpa, 20 microLED, üveg, időjárásálló, automatikus, melegfehér</t>
        </is>
      </c>
      <c r="C500" s="1" t="n">
        <v>3190.0</v>
      </c>
      <c r="D500" s="7" t="n">
        <f>HYPERLINK("https://www.somogyi.hu/product/home-mx-624-napelemes-kerti-lampa-20-microled-uveg-idojarasallo-automatikus-melegfeher-mx-624-17099","https://www.somogyi.hu/product/home-mx-624-napelemes-kerti-lampa-20-microled-uveg-idojarasallo-automatikus-melegfeher-mx-624-17099")</f>
        <v>0.0</v>
      </c>
      <c r="E500" s="7" t="n">
        <f>HYPERLINK("https://www.somogyi.hu/data/img/product_main_images/small/17099.jpg","https://www.somogyi.hu/data/img/product_main_images/small/17099.jpg")</f>
        <v>0.0</v>
      </c>
      <c r="F500" s="2" t="inlineStr">
        <is>
          <t>5999084951313</t>
        </is>
      </c>
      <c r="G500" s="4" t="inlineStr">
        <is>
          <t>Az MX 624 Napelemes kerti lámpa hangulatos megvilágítást nyújt a kertben vagy a teraszon. A szolár lámpa világítását 20 db melegfehér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624 napelemes kerti lámpánkkal.</t>
        </is>
      </c>
    </row>
    <row r="501">
      <c r="A501" s="3" t="inlineStr">
        <is>
          <t>MXNV3</t>
        </is>
      </c>
      <c r="B501" s="2" t="inlineStr">
        <is>
          <t>Home MXNV3 napvitorla, 140 LED, napelem, 8 program, IP44, polietilén HDPE, 1 x 1,2 V AA NiMH 1000 mAh akkumulátor, tartozék rögzítők, kül- és beltéri</t>
        </is>
      </c>
      <c r="C501" s="1" t="n">
        <v>15590.0</v>
      </c>
      <c r="D501" s="7" t="n">
        <f>HYPERLINK("https://www.somogyi.hu/product/home-mxnv3-napvitorla-140-led-napelem-8-program-ip44-polietilen-hdpe-1-x-1-2-v-aa-nimh-1000-mah-akkumulator-tartozek-rogzitok-kul-es-belteri-mxnv3-18335","https://www.somogyi.hu/product/home-mxnv3-napvitorla-140-led-napelem-8-program-ip44-polietilen-hdpe-1-x-1-2-v-aa-nimh-1000-mah-akkumulator-tartozek-rogzitok-kul-es-belteri-mxnv3-18335")</f>
        <v>0.0</v>
      </c>
      <c r="E501" s="7" t="n">
        <f>HYPERLINK("https://www.somogyi.hu/data/img/product_main_images/small/18335.jpg","https://www.somogyi.hu/data/img/product_main_images/small/18335.jpg")</f>
        <v>0.0</v>
      </c>
      <c r="F501" s="2" t="inlineStr">
        <is>
          <t>5999084963538</t>
        </is>
      </c>
      <c r="G501" s="4" t="inlineStr">
        <is>
          <t>Van már megoldása arra, hogyan teremtsen kellemes árnyékot a kertben vagy teraszon, vagy hogy egyedi hangulatot varázsoljon az esti órákba? A Home MXNV3 napvitorla nem csak árnyékot biztosít a napfényes órákban, hanem a beépített napelemes rendszerrel este melegfehér fényt áraszt.
Ez a sokoldalú napvitorla kül- és beltéri használatra is alkalmas, így tökéletes választás a kertben, teraszon vagy akár a fedett területeken. A 140 db melegfehér LED biztosítja a hangulatos világítást, amely 8 különböző programon keresztül szabályozható, így minden alkalomhoz illő atmoszférát teremthet. Az IP44 besorolás azt jelenti, hogy a vitorla fröccsenő víz ellen védett minden irányból, így az enyhébb időjárási körülmények sem jelentenek számára problémát.
A 3 x 3 x 3 méteres mérete és 85-95%-os árnyékolási képessége révén a Home MXNV3 napvitorla tökéletesen megvédi Önt a nap erős sugárzásától. A tartós polietilén HDPE anyag hosszú élettartamot és ellenállóságot garantál. Az 1 db 1,2V AA NiMH 1000 mAh akkumulátor biztosítja a LED-ek energiaellátását. A csomag tartalmaz minden szükséges zsinórt és rögzítő elemet a vitorla könnyű felszereléséhez.
Ne hagyja ki a lehetőséget, hogy a Home MXNV3 napvitorlával egyedi és kényelmes környezetet teremtsen otthonában vagy kertjében. Rendelje meg most, és élvezze az árnyékot és a hangulatos világítást a nyári estéken!</t>
        </is>
      </c>
    </row>
    <row r="502">
      <c r="A502" s="3" t="inlineStr">
        <is>
          <t>FLP300SOLAR</t>
        </is>
      </c>
      <c r="B502" s="2" t="inlineStr">
        <is>
          <t>Home FLP300SOLAR napelemes LED reflektor, 300 lm, PIR mozgásérzékelő, 120° 5m, 36 db hidegfehér SMD LED, energiatakarékos, műanyag, IP44</t>
        </is>
      </c>
      <c r="C502" s="1" t="n">
        <v>6590.0</v>
      </c>
      <c r="D502" s="7" t="n">
        <f>HYPERLINK("https://www.somogyi.hu/product/home-flp300solar-napelemes-led-reflektor-300-lm-pir-mozgaserzekelo-120-5m-36-db-hidegfeher-smd-led-energiatakarekos-muanyag-ip44-flp300solar-18345","https://www.somogyi.hu/product/home-flp300solar-napelemes-led-reflektor-300-lm-pir-mozgaserzekelo-120-5m-36-db-hidegfeher-smd-led-energiatakarekos-muanyag-ip44-flp300solar-18345")</f>
        <v>0.0</v>
      </c>
      <c r="E502" s="7" t="n">
        <f>HYPERLINK("https://www.somogyi.hu/data/img/product_main_images/small/18345.jpg","https://www.somogyi.hu/data/img/product_main_images/small/18345.jpg")</f>
        <v>0.0</v>
      </c>
      <c r="F502" s="2" t="inlineStr">
        <is>
          <t>5999084963637</t>
        </is>
      </c>
      <c r="G502" s="4" t="inlineStr">
        <is>
          <t>Ön is szeretne egy megbízható és energiahatékony megoldást a kert vagy udvar megvilágítására? A Home FLP300SOLAR napelemes LED reflektor tökéletes választás azok számára, akik korszerű és fenntartható megoldást keresnek. Ez a kifinomult reflektor 36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300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FLP300SOLAR napelemes LED reflektort, hogy otthona külső területei biztonságosan és takarékosan legyenek megvilágítva.</t>
        </is>
      </c>
    </row>
    <row r="503">
      <c r="A503" s="3" t="inlineStr">
        <is>
          <t>MX 819/1</t>
        </is>
      </c>
      <c r="B503" s="2" t="inlineStr">
        <is>
          <t>Home MX 819/1 napelemes kerti lámpa, fém és műanyag, 1 db fehér LED, 1 db színváltó LED, automatikus</t>
        </is>
      </c>
      <c r="C503" s="1" t="n">
        <v>1850.0</v>
      </c>
      <c r="D503" s="7" t="n">
        <f>HYPERLINK("https://www.somogyi.hu/product/home-mx-819-1-napelemes-kerti-lampa-fem-es-muanyag-1-db-feher-led-1-db-szinvalto-led-automatikus-mx-819-1-13873","https://www.somogyi.hu/product/home-mx-819-1-napelemes-kerti-lampa-fem-es-muanyag-1-db-feher-led-1-db-szinvalto-led-automatikus-mx-819-1-13873")</f>
        <v>0.0</v>
      </c>
      <c r="E503" s="7" t="n">
        <f>HYPERLINK("https://www.somogyi.hu/data/img/product_main_images/small/13873.jpg","https://www.somogyi.hu/data/img/product_main_images/small/13873.jpg")</f>
        <v>0.0</v>
      </c>
      <c r="F503" s="2" t="inlineStr">
        <is>
          <t>5999084919252</t>
        </is>
      </c>
      <c r="G503" s="4" t="inlineStr">
        <is>
          <t>Egy különleges színű kerti lámpát szeretne vásárolni? Ez esetben keresve sem találhat megfelelőbbet, mint az MX 819/1.
Fényforrásul 1 db ∅5 fehér, és 1 db ∅5 mm színváltó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Mérete: ∅6 X 41,5 cm. Válassza a minőségi termékeket és rendeljen webáruházunkból.</t>
        </is>
      </c>
    </row>
    <row r="504">
      <c r="A504" s="3" t="inlineStr">
        <is>
          <t>MX 632C</t>
        </is>
      </c>
      <c r="B504" s="2" t="inlineStr">
        <is>
          <t>Home MX 632C napelemes lámpa, törpe, ~8 óra üzemidő, NiMH</t>
        </is>
      </c>
      <c r="C504" s="1" t="n">
        <v>5190.0</v>
      </c>
      <c r="D504" s="7" t="n">
        <f>HYPERLINK("https://www.somogyi.hu/product/home-mx-632c-napelemes-lampa-torpe-8-ora-uzemido-nimh-mx-632c-7194","https://www.somogyi.hu/product/home-mx-632c-napelemes-lampa-torpe-8-ora-uzemido-nimh-mx-632c-7194")</f>
        <v>0.0</v>
      </c>
      <c r="E504" s="7" t="n">
        <f>HYPERLINK("https://www.somogyi.hu/data/img/product_main_images/small/07194.jpg","https://www.somogyi.hu/data/img/product_main_images/small/07194.jpg")</f>
        <v>0.0</v>
      </c>
      <c r="F504" s="2" t="inlineStr">
        <is>
          <t>5998312761861</t>
        </is>
      </c>
      <c r="G504" s="4" t="inlineStr">
        <is>
          <t>Ön is rajong a csodálatos mesebeli lényekért? A törpék valóban különös kis lények. Most akár otthonába is beszerezhet néhányat belőlük!
Az MX 632C egy törpe formájú napelemes lámpa, amely nappal töltődik, éjjel világít. Előnye, hogy automatikusan be- és kikapcsol. A kerti törpe világítását 1 db nagy fényerejű LED szolgáltatja, amely akár 8 órás folyamatos működést is képes biztosítani. Akkumulátora cserélhető (1,2 V / 600 mAh). Mérete: 25 cm. 
Lepje meg családját a kedves kis törpével és varázsoljon mulatságos pillanatokat udvarába. Ne habozzon és rendelje meg mielőbb webáruházunkból!</t>
        </is>
      </c>
    </row>
    <row r="505">
      <c r="A505" s="3" t="inlineStr">
        <is>
          <t>FLP1002SOLAR</t>
        </is>
      </c>
      <c r="B505" s="2" t="inlineStr">
        <is>
          <t>Home FLP1002SOLAR napelemes LED reflektor, 1000 lm, PIR mozgásérzékelő, 120° 5m, 2 x 28 db hidegfehér SMD LED, energiatakarékos, fém + műanyag, IP44</t>
        </is>
      </c>
      <c r="C505" s="1" t="n">
        <v>18190.0</v>
      </c>
      <c r="D505" s="7" t="n">
        <f>HYPERLINK("https://www.somogyi.hu/product/home-flp1002solar-napelemes-led-reflektor-1000-lm-pir-mozgaserzekelo-120-5m-2-x-28-db-hidegfeher-smd-led-energiatakarekos-fem-muanyag-ip44-flp1002solar-18347","https://www.somogyi.hu/product/home-flp1002solar-napelemes-led-reflektor-1000-lm-pir-mozgaserzekelo-120-5m-2-x-28-db-hidegfeher-smd-led-energiatakarekos-fem-muanyag-ip44-flp1002solar-18347")</f>
        <v>0.0</v>
      </c>
      <c r="E505" s="7" t="n">
        <f>HYPERLINK("https://www.somogyi.hu/data/img/product_main_images/small/18347.jpg","https://www.somogyi.hu/data/img/product_main_images/small/18347.jpg")</f>
        <v>0.0</v>
      </c>
      <c r="F505" s="2" t="inlineStr">
        <is>
          <t>5999084963651</t>
        </is>
      </c>
      <c r="G505" s="4" t="inlineStr">
        <is>
          <t>Ön is szeretne egy megbízható és energiahatékony megoldást a kert vagy udvar megvilágítására? A Home FLP1002SOLAR napelemes LED reflektor tökéletes választás azok számára, akik korszerű és fenntartható megoldást keresnek. Ez a kifinomult reflektor 2x28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Az 1000 lumen fényerő és a 6000K színhőmérséklet garantálja a tiszta, és erős fényt. Az IP44 védelemnek köszönhetően a reflektor ellenáll a freccsenő víznek, így kültéren is bátran használható.
A tartós fém és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FLP1002SOLAR napelemes LED reflektort, hogy otthona külső területei biztonságosan és takarékosan legyenek megvilágítva.</t>
        </is>
      </c>
    </row>
    <row r="506">
      <c r="A506" s="3" t="inlineStr">
        <is>
          <t>MX 300</t>
        </is>
      </c>
      <c r="B506" s="2" t="inlineStr">
        <is>
          <t>Home MX 300 napelemes kerti fáklya, 72 LED, automatikus, napelem és töltő, időjárásálló</t>
        </is>
      </c>
      <c r="C506" s="1" t="n">
        <v>7690.0</v>
      </c>
      <c r="D506" s="7" t="n">
        <f>HYPERLINK("https://www.somogyi.hu/product/home-mx-300-napelemes-kerti-faklya-72-led-automatikus-napelem-es-tolto-idojarasallo-mx-300-16278","https://www.somogyi.hu/product/home-mx-300-napelemes-kerti-faklya-72-led-automatikus-napelem-es-tolto-idojarasallo-mx-300-16278")</f>
        <v>0.0</v>
      </c>
      <c r="E506" s="7" t="n">
        <f>HYPERLINK("https://www.somogyi.hu/data/img/product_main_images/small/16278.jpg","https://www.somogyi.hu/data/img/product_main_images/small/16278.jpg")</f>
        <v>0.0</v>
      </c>
      <c r="F506" s="2" t="inlineStr">
        <is>
          <t>5999084943103</t>
        </is>
      </c>
      <c r="G506" s="4" t="inlineStr">
        <is>
          <t>Az MX 300 Napelemes kerti fáklya valósághű lángeffekttel világít, amely nagyon hangulatos kiegészítése lehet a kertnek vagy a terasznak. A beépített napelem és akkumulátortöltő segítségével nappal töltődik, majd sötétedést követően automatikusan bekapcsol és világít. Időjárásnak ellenálló műanyag kivitelben készült.
Tegye egyedivé a teraszt, udvart vagy a virágoskertet az MX 300 napelemes kerti fáklyánkkal.</t>
        </is>
      </c>
    </row>
    <row r="507">
      <c r="A507" s="3" t="inlineStr">
        <is>
          <t>MX 715D</t>
        </is>
      </c>
      <c r="B507" s="2" t="inlineStr">
        <is>
          <t>Home MX 715D napelemes kerti lámpa, 8 óra üzemidő, napelem és töltő, automatikus, 1 LED, időjárásálló</t>
        </is>
      </c>
      <c r="C507" s="1" t="n">
        <v>1890.0</v>
      </c>
      <c r="D507" s="7" t="n">
        <f>HYPERLINK("https://www.somogyi.hu/product/home-mx-715d-napelemes-kerti-lampa-8-ora-uzemido-napelem-es-tolto-automatikus-1-led-idojarasallo-mx-715d-11810","https://www.somogyi.hu/product/home-mx-715d-napelemes-kerti-lampa-8-ora-uzemido-napelem-es-tolto-automatikus-1-led-idojarasallo-mx-715d-11810")</f>
        <v>0.0</v>
      </c>
      <c r="E507" s="7" t="n">
        <f>HYPERLINK("https://www.somogyi.hu/data/img/product_main_images/small/11810.jpg","https://www.somogyi.hu/data/img/product_main_images/small/11810.jpg")</f>
        <v>0.0</v>
      </c>
      <c r="F507" s="2" t="inlineStr">
        <is>
          <t>5999084900229</t>
        </is>
      </c>
      <c r="G507" s="4" t="inlineStr">
        <is>
          <t>Kedveli a stílusos eleganciát? Ez esetben keresve sem találhat megfelelőbb formájú fém kerti lámpát, mint az MX 715D.
A világítást 1 db nagy fényerejű fehér LED szolgáltatja. A napelem természetes fényben töltődik, amely éjszaka világít. Be- és kikapcsolódása automatikus, így Önnek csak arra lesz gondja, hogy a földbe leszúrja a lámpát. A termék előnye továbbá, hogy akár 8 órás folyamatos működést is lehetővé tesz.
Cserélhető (1,2 V/600 mAh) AA NiMH akkumulátorral rendelkezik. Mérete: ∅12 X 40 cm. Válassza a minőségi termékeket és rendeljen webáruházunkból.</t>
        </is>
      </c>
    </row>
    <row r="508">
      <c r="A508" s="3" t="inlineStr">
        <is>
          <t>MX 808</t>
        </is>
      </c>
      <c r="B508" s="2" t="inlineStr">
        <is>
          <t>Home MX 808 napelemes kerti lámpa, rozsdamentes fém, napelem és töltő, automatikus, 1 fehér LED, időjárásálló</t>
        </is>
      </c>
      <c r="C508" s="1" t="n">
        <v>1590.0</v>
      </c>
      <c r="D508" s="7" t="n">
        <f>HYPERLINK("https://www.somogyi.hu/product/home-mx-808-napelemes-kerti-lampa-rozsdamentes-fem-napelem-es-tolto-automatikus-1-feher-led-idojarasallo-mx-808-17100","https://www.somogyi.hu/product/home-mx-808-napelemes-kerti-lampa-rozsdamentes-fem-napelem-es-tolto-automatikus-1-feher-led-idojarasallo-mx-808-17100")</f>
        <v>0.0</v>
      </c>
      <c r="E508" s="7" t="n">
        <f>HYPERLINK("https://www.somogyi.hu/data/img/product_main_images/small/17100.jpg","https://www.somogyi.hu/data/img/product_main_images/small/17100.jpg")</f>
        <v>0.0</v>
      </c>
      <c r="F508" s="2" t="inlineStr">
        <is>
          <t>5999084951320</t>
        </is>
      </c>
      <c r="G508" s="4" t="inlineStr">
        <is>
          <t>Az MX 808 Napelemes kerti lámpa hangulatos megvilágítást nyújt a kertben vagy a teraszon. A szolár lámpa rozsdamentes fém és műanyag kivitelben készült, világítását 1 db hidegfehér LED biztosítja. A beépített napelem és akkumulátortöltő segítségével nappal töltődik, majd sötétedést követően automatikusan bekapcsol és világít. Időjárásnak ellenálló. 
Tegye egyedivé a teraszt, udvart vagy a virágoskertet az MX 808 napelemes kerti lámpánkkal.</t>
        </is>
      </c>
    </row>
    <row r="509">
      <c r="A509" s="3" t="inlineStr">
        <is>
          <t>MX 809</t>
        </is>
      </c>
      <c r="B509" s="2" t="inlineStr">
        <is>
          <t>Home MX 809 napelemes kerti lámpa, 1 db LED, fém, időjárásálló, automatikus, hidegfehér</t>
        </is>
      </c>
      <c r="C509" s="1" t="n">
        <v>1290.0</v>
      </c>
      <c r="D509" s="7" t="n">
        <f>HYPERLINK("https://www.somogyi.hu/product/home-mx-809-napelemes-kerti-lampa-1-db-led-fem-idojarasallo-automatikus-hidegfeher-mx-809-17605","https://www.somogyi.hu/product/home-mx-809-napelemes-kerti-lampa-1-db-led-fem-idojarasallo-automatikus-hidegfeher-mx-809-17605")</f>
        <v>0.0</v>
      </c>
      <c r="E509" s="7" t="n">
        <f>HYPERLINK("https://www.somogyi.hu/data/img/product_main_images/small/17605.jpg","https://www.somogyi.hu/data/img/product_main_images/small/17605.jpg")</f>
        <v>0.0</v>
      </c>
      <c r="F509" s="2" t="inlineStr">
        <is>
          <t>5999084956271</t>
        </is>
      </c>
      <c r="G509"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510">
      <c r="A510" s="3" t="inlineStr">
        <is>
          <t>MX 625</t>
        </is>
      </c>
      <c r="B510" s="2" t="inlineStr">
        <is>
          <t>Home MX 625 napelemes kerti lámpa, 1 db színváltó LED, üveg, időjárásálló, automatikus, színes</t>
        </is>
      </c>
      <c r="C510" s="1" t="n">
        <v>2490.0</v>
      </c>
      <c r="D510" s="7" t="n">
        <f>HYPERLINK("https://www.somogyi.hu/product/home-mx-625-napelemes-kerti-lampa-1-db-szinvalto-led-uveg-idojarasallo-automatikus-szines-mx-625-17169","https://www.somogyi.hu/product/home-mx-625-napelemes-kerti-lampa-1-db-szinvalto-led-uveg-idojarasallo-automatikus-szines-mx-625-17169")</f>
        <v>0.0</v>
      </c>
      <c r="E510" s="7" t="n">
        <f>HYPERLINK("https://www.somogyi.hu/data/img/product_main_images/small/17169.jpg","https://www.somogyi.hu/data/img/product_main_images/small/17169.jpg")</f>
        <v>0.0</v>
      </c>
      <c r="F510" s="2" t="inlineStr">
        <is>
          <t>5999084952013</t>
        </is>
      </c>
      <c r="G510" s="4" t="inlineStr">
        <is>
          <t>Az MX 625 Napelemes kerti lámpa hangulatos megvilágítást nyújt a kertben vagy a teraszon. A szolár lámpa üveg búrával ellátott, világítását 1 db színváltó LED biztosítja. A beépített napelem és akkumulátortöltő segítségével nappal töltődik, majd sötétedést követően automatikusan bekapcsol és világít. Időjárásnak ellenálló kivitelben készült.
Tegye egyedivé a teraszt, udvart vagy a virágoskertet az MX 625 napelemes kerti lámpánkkal.</t>
        </is>
      </c>
    </row>
    <row r="511">
      <c r="A511" s="3" t="inlineStr">
        <is>
          <t>MX 807/4</t>
        </is>
      </c>
      <c r="B511" s="2" t="inlineStr">
        <is>
          <t>Home MX 807/4 napelemes kerti lámpa szett, 4 db, 1 db LED, fém és műanyag, automatikus</t>
        </is>
      </c>
      <c r="C511" s="1" t="n">
        <v>4790.0</v>
      </c>
      <c r="D511" s="7" t="n">
        <f>HYPERLINK("https://www.somogyi.hu/product/home-mx-807-4-napelemes-kerti-lampa-szett-4-db-1-db-led-fem-es-muanyag-automatikus-mx-807-4-14414","https://www.somogyi.hu/product/home-mx-807-4-napelemes-kerti-lampa-szett-4-db-1-db-led-fem-es-muanyag-automatikus-mx-807-4-14414")</f>
        <v>0.0</v>
      </c>
      <c r="E511" s="7" t="n">
        <f>HYPERLINK("https://www.somogyi.hu/data/img/product_main_images/small/14414.jpg","https://www.somogyi.hu/data/img/product_main_images/small/14414.jpg")</f>
        <v>0.0</v>
      </c>
      <c r="F511" s="2" t="inlineStr">
        <is>
          <t>5999084924621</t>
        </is>
      </c>
      <c r="G511" s="4" t="inlineStr">
        <is>
          <t>Egy klasszikus stílusú külsővel rendelkező kerti lámpát szeretne vásárolni? Ez esetben keresve sem találhat megfelelőbbet! Az MX 807/4 egy napelemes kerti lámpa szett.
Fényforrásul 1 db fehér LED szolgál. A napelem természetes fényben tölti az akkut. Be- és kikapcsolódása automatikus. A lámpa elhelyezése megoldható földbe leszúrással. Előnye továbbá, hogy az időjárásnak ellenálló kivitellel rendelkezik, így élettartama is nagyon hosszú.
Cserélhető (1,2 V 200 mAh) AAA NiMH akkumulátorra van. Mérete: ∅8 X 37,5 cm. Válassza a minőségi termékeket és rendeljen webáruházunkból.</t>
        </is>
      </c>
    </row>
    <row r="512">
      <c r="A512" s="3" t="inlineStr">
        <is>
          <t>MX 623</t>
        </is>
      </c>
      <c r="B512" s="2" t="inlineStr">
        <is>
          <t>Home MX 623 napelemes kerti lámpa, 20 microLED, üveg, időjárásálló, automatikus, színes</t>
        </is>
      </c>
      <c r="C512" s="1" t="n">
        <v>3190.0</v>
      </c>
      <c r="D512" s="7" t="n">
        <f>HYPERLINK("https://www.somogyi.hu/product/home-mx-623-napelemes-kerti-lampa-20-microled-uveg-idojarasallo-automatikus-szines-mx-623-16714","https://www.somogyi.hu/product/home-mx-623-napelemes-kerti-lampa-20-microled-uveg-idojarasallo-automatikus-szines-mx-623-16714")</f>
        <v>0.0</v>
      </c>
      <c r="E512" s="7" t="n">
        <f>HYPERLINK("https://www.somogyi.hu/data/img/product_main_images/small/16714.jpg","https://www.somogyi.hu/data/img/product_main_images/small/16714.jpg")</f>
        <v>0.0</v>
      </c>
      <c r="F512" s="2" t="inlineStr">
        <is>
          <t>5999084947460</t>
        </is>
      </c>
      <c r="G512" s="4" t="inlineStr">
        <is>
          <t>Az MX 623 Napelemes kerti lámpa hangulatos megvilágítást nyújt a kertben vagy a teraszon. A napelemes kerti lámpa világítását 20 db színes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623 napelemes kerti lámpánkkal.</t>
        </is>
      </c>
    </row>
    <row r="513">
      <c r="A513" s="3" t="inlineStr">
        <is>
          <t>MX 650</t>
        </is>
      </c>
      <c r="B513" s="2" t="inlineStr">
        <is>
          <t>Home MX 650 napelemes kerti lámpa, 3 db LED, automatikus, napelemes, akkumulátoros</t>
        </is>
      </c>
      <c r="C513" s="1" t="n">
        <v>1990.0</v>
      </c>
      <c r="D513" s="7" t="n">
        <f>HYPERLINK("https://www.somogyi.hu/product/home-mx-650-napelemes-kerti-lampa-3-db-led-automatikus-napelemes-akkumulatoros-mx-650-16715","https://www.somogyi.hu/product/home-mx-650-napelemes-kerti-lampa-3-db-led-automatikus-napelemes-akkumulatoros-mx-650-16715")</f>
        <v>0.0</v>
      </c>
      <c r="E513" s="7" t="n">
        <f>HYPERLINK("https://www.somogyi.hu/data/img/product_main_images/small/16715.jpg","https://www.somogyi.hu/data/img/product_main_images/small/16715.jpg")</f>
        <v>0.0</v>
      </c>
      <c r="F513" s="2" t="inlineStr">
        <is>
          <t>5999084947477</t>
        </is>
      </c>
      <c r="G513" s="4" t="inlineStr">
        <is>
          <t>Az MX 650 Napelemes kerti lámpa hangulatos megvilágítást nyújt a kertben vagy a teraszon. Sokoldalúan felhasználható, mivel az ereszcsatornára, kerítésre vagy akár a falra is felszerelheti. A beépített napelem és akkumulátortöltő segítségével nappal töltődik, majd sötétedést követően automatikusan bekapcsol és világít. Időjárásnak ellenálló kivitelben készült.</t>
        </is>
      </c>
    </row>
    <row r="514">
      <c r="A514" s="3" t="inlineStr">
        <is>
          <t>MX810</t>
        </is>
      </c>
      <c r="B514" s="2" t="inlineStr">
        <is>
          <t>Home MX810 napelemes kerti lámpa, 12db-os display, műanyag, 1 db hidegfehér LED, kültéri, beltéri</t>
        </is>
      </c>
      <c r="C514" s="1" t="n">
        <v>839.0</v>
      </c>
      <c r="D514" s="7" t="n">
        <f>HYPERLINK("https://www.somogyi.hu/product/home-mx810-napelemes-kerti-lampa-12db-os-display-muanyag-1-db-hidegfeher-led-kulteri-belteri-mx810-18342","https://www.somogyi.hu/product/home-mx810-napelemes-kerti-lampa-12db-os-display-muanyag-1-db-hidegfeher-led-kulteri-belteri-mx810-18342")</f>
        <v>0.0</v>
      </c>
      <c r="E514" s="7" t="n">
        <f>HYPERLINK("https://www.somogyi.hu/data/img/product_main_images/small/18342.jpg","https://www.somogyi.hu/data/img/product_main_images/small/18342.jpg")</f>
        <v>0.0</v>
      </c>
      <c r="F514" s="2" t="inlineStr">
        <is>
          <t>5999084963606</t>
        </is>
      </c>
      <c r="G514" s="4" t="inlineStr">
        <is>
          <t>Egy mesésen megvilágított kertről vagy teraszról álmodik, ahol a fények magukkal ragadják a tekintetet? A Home MX810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hidegfehér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és tartósan újratölthető.
Alakítsa át kertjét vagy teraszát a Home MX810 napelemes kerti lámpákkal, amelyek nem csak dekoratívak, hanem praktikusak is. Engedje, hogy ezek a lámpák vezessék az utat a kerti ösvényen, vagy varázslatos atmoszférát teremtsenek egy esti összejövetel során.</t>
        </is>
      </c>
    </row>
    <row r="515">
      <c r="A515" s="3" t="inlineStr">
        <is>
          <t>MX717</t>
        </is>
      </c>
      <c r="B515" s="2" t="inlineStr">
        <is>
          <t>Home MX717 napelemes kerti lámpa, 12db-os display, műanyag, 2 db hidegfehér LED, kültéri, beltéri</t>
        </is>
      </c>
      <c r="C515" s="1" t="n">
        <v>869.0</v>
      </c>
      <c r="D515" s="7" t="n">
        <f>HYPERLINK("https://www.somogyi.hu/product/home-mx717-napelemes-kerti-lampa-12db-os-display-muanyag-2-db-hidegfeher-led-kulteri-belteri-mx717-18341","https://www.somogyi.hu/product/home-mx717-napelemes-kerti-lampa-12db-os-display-muanyag-2-db-hidegfeher-led-kulteri-belteri-mx717-18341")</f>
        <v>0.0</v>
      </c>
      <c r="E515" s="7" t="n">
        <f>HYPERLINK("https://www.somogyi.hu/data/img/product_main_images/small/18341.jpg","https://www.somogyi.hu/data/img/product_main_images/small/18341.jpg")</f>
        <v>0.0</v>
      </c>
      <c r="F515" s="2" t="inlineStr">
        <is>
          <t>5999084963590</t>
        </is>
      </c>
      <c r="G515" s="4" t="inlineStr">
        <is>
          <t>Egy mesésen megvilágított kertről vagy teraszról álmodik, ahol a fények magukkal ragadják a tekintetet? A Home MX717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MX717 napelemes kerti lámpákkal, amelyek nem csak dekoratívak, hanem praktikusak is. Engedje, hogy ezek a lámpák vezessék az utat a kerti ösvényen, vagy varázslatos atmoszférát teremtsenek egy esti összejövetel során.</t>
        </is>
      </c>
    </row>
    <row r="516">
      <c r="A516" s="3" t="inlineStr">
        <is>
          <t>MX 811/4</t>
        </is>
      </c>
      <c r="B516" s="2" t="inlineStr">
        <is>
          <t>Home MX 811/4 napelemes kerti lámpa szett, 4 db, 1 db LED, fém, üveg és műanyag, automatikus</t>
        </is>
      </c>
      <c r="C516" s="1" t="n">
        <v>5690.0</v>
      </c>
      <c r="D516" s="7" t="n">
        <f>HYPERLINK("https://www.somogyi.hu/product/home-mx-811-4-napelemes-kerti-lampa-szett-4-db-1-db-led-fem-uveg-es-muanyag-automatikus-mx-811-4-14415","https://www.somogyi.hu/product/home-mx-811-4-napelemes-kerti-lampa-szett-4-db-1-db-led-fem-uveg-es-muanyag-automatikus-mx-811-4-14415")</f>
        <v>0.0</v>
      </c>
      <c r="E516" s="7" t="n">
        <f>HYPERLINK("https://www.somogyi.hu/data/img/product_main_images/small/14415.jpg","https://www.somogyi.hu/data/img/product_main_images/small/14415.jpg")</f>
        <v>0.0</v>
      </c>
      <c r="F516" s="2" t="inlineStr">
        <is>
          <t>5999084924638</t>
        </is>
      </c>
      <c r="G516" s="4" t="inlineStr">
        <is>
          <t>Ön is kedveli az egyedi dolgokat? Ez esetben keresve sem találhat megfelelőbbet, mint az MX 811/4 napelemes kerti lámpa szett.
Különlegessége, hogy fényforrásul 1 db színváltós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Cserélhető (1,2 V 200 mAh) AAA NiMH akkumulátorra van. Mérete: ∅8 X 37 cm. Válassza a minőségi termékeket és rendeljen webáruházunkból.</t>
        </is>
      </c>
    </row>
    <row r="517">
      <c r="A517" s="3" t="inlineStr">
        <is>
          <t>MX 618K</t>
        </is>
      </c>
      <c r="B517" s="2" t="inlineStr">
        <is>
          <t>Home MX 618K napelemes kerti dekoráció, 1 db LED, automatikus, 8 óra üzemidő, kolibri</t>
        </is>
      </c>
      <c r="C517" s="1" t="n">
        <v>1990.0</v>
      </c>
      <c r="D517" s="7" t="n">
        <f>HYPERLINK("https://www.somogyi.hu/product/home-mx-618k-napelemes-kerti-dekoracio-1-db-led-automatikus-8-ora-uzemido-kolibri-mx-618k-16707","https://www.somogyi.hu/product/home-mx-618k-napelemes-kerti-dekoracio-1-db-led-automatikus-8-ora-uzemido-kolibri-mx-618k-16707")</f>
        <v>0.0</v>
      </c>
      <c r="E517" s="7" t="n">
        <f>HYPERLINK("https://www.somogyi.hu/data/img/product_main_images/small/16707.jpg","https://www.somogyi.hu/data/img/product_main_images/small/16707.jpg")</f>
        <v>0.0</v>
      </c>
      <c r="F517" s="2" t="inlineStr">
        <is>
          <t>5999084947392</t>
        </is>
      </c>
      <c r="G517" s="4" t="inlineStr">
        <is>
          <t>Az MX 618 K Napelemes kerti dekorációval dobja fel teraszát vagy kertjét. A kolibri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18">
      <c r="A518" s="6" t="inlineStr">
        <is>
          <t xml:space="preserve">   Világítás / Dekorációs világítás</t>
        </is>
      </c>
      <c r="B518" s="6" t="inlineStr">
        <is>
          <t/>
        </is>
      </c>
      <c r="C518" s="6" t="inlineStr">
        <is>
          <t/>
        </is>
      </c>
      <c r="D518" s="6" t="inlineStr">
        <is>
          <t/>
        </is>
      </c>
      <c r="E518" s="6" t="inlineStr">
        <is>
          <t/>
        </is>
      </c>
      <c r="F518" s="6" t="inlineStr">
        <is>
          <t/>
        </is>
      </c>
      <c r="G518" s="6" t="inlineStr">
        <is>
          <t/>
        </is>
      </c>
    </row>
    <row r="519">
      <c r="A519" s="3" t="inlineStr">
        <is>
          <t>MLF 26/WW</t>
        </is>
      </c>
      <c r="B519" s="2" t="inlineStr">
        <is>
          <t>Home MLF 26/WW micro LED-es fényfüzér, 2 m / 20 db melegfehér micro LED, állófényű, átlátszó vezeték, időzíthető, gombelemes, lapos elemtartó, beltéri kivitel</t>
        </is>
      </c>
      <c r="C519" s="1" t="n">
        <v>1150.0</v>
      </c>
      <c r="D519" s="7" t="n">
        <f>HYPERLINK("https://www.somogyi.hu/product/home-mlf-26-ww-micro-led-es-fenyfuzer-2-m-20-db-melegfeher-micro-led-allofenyu-atlatszo-vezetek-idozitheto-gombelemes-lapos-elemtarto-belteri-kivitel-mlf-26-ww-18137","https://www.somogyi.hu/product/home-mlf-26-ww-micro-led-es-fenyfuzer-2-m-20-db-melegfeher-micro-led-allofenyu-atlatszo-vezetek-idozitheto-gombelemes-lapos-elemtarto-belteri-kivitel-mlf-26-ww-18137")</f>
        <v>0.0</v>
      </c>
      <c r="E519" s="7" t="n">
        <f>HYPERLINK("https://www.somogyi.hu/data/img/product_main_images/small/18137.jpg","https://www.somogyi.hu/data/img/product_main_images/small/18137.jpg")</f>
        <v>0.0</v>
      </c>
      <c r="F519" s="2" t="inlineStr">
        <is>
          <t>5999084961596</t>
        </is>
      </c>
      <c r="G519" s="4" t="inlineStr">
        <is>
          <t>Szeretne egy diszkrét, mégis látványos megoldást otthoni világításra? Az MLF 26/WW pont az, amire szüksége van!
Ez a beltéri fényfüzér 20 darab melegfehér, állófényű micro-LED-del varázsolja el szobáját. 
A vékony, átlátszó vezetékkel szinte észrevétlenül simul környezetébe, így az égők ragyogása kerül előtérbe. 
Az ON / OFF / TIMER funkciójú kapcsolóval pedig tökéletesen időzítheti: 6 órán át világít, majd 18 órán keresztül pihen. 
Az energiát pedig a csomagban található 2 x 3 V (CR2032) gombelem biztosítja.
Ne habozzon, emelje otthona hangulatát az MLF 26/WW LED fényfüzérrel - ahol a fények és a design kéz a kézben jár!</t>
        </is>
      </c>
    </row>
    <row r="520">
      <c r="A520" s="3" t="inlineStr">
        <is>
          <t>MLF 20/M</t>
        </is>
      </c>
      <c r="B520" s="2" t="inlineStr">
        <is>
          <t>Micro LED-es fényfüzér</t>
        </is>
      </c>
      <c r="C520" s="1" t="n">
        <v>729.0</v>
      </c>
      <c r="D520" s="7" t="n">
        <f>HYPERLINK("https://www.somogyi.hu/product/micro-led-es-fenyfuzer-mlf-20-m-16512","https://www.somogyi.hu/product/micro-led-es-fenyfuzer-mlf-20-m-16512")</f>
        <v>0.0</v>
      </c>
      <c r="E520" s="7" t="n">
        <f>HYPERLINK("https://www.somogyi.hu/data/img/product_main_images/small/16512.jpg","https://www.somogyi.hu/data/img/product_main_images/small/16512.jpg")</f>
        <v>0.0</v>
      </c>
      <c r="F520" s="2" t="inlineStr">
        <is>
          <t>5999084945442</t>
        </is>
      </c>
      <c r="G520" s="4" t="inlineStr">
        <is>
          <t>Micro LED-es színváltó, villogó fényfüzér 20 db pontszerű micro LED-del. Lapos, könnyel elrejthető elemtartóval.</t>
        </is>
      </c>
    </row>
    <row r="521">
      <c r="A521" s="3" t="inlineStr">
        <is>
          <t>LPC 5M</t>
        </is>
      </c>
      <c r="B521" s="2" t="inlineStr">
        <is>
          <t>Home LPC 5M tápkábel, hosszabbító, 5 m, kül- és beltéri</t>
        </is>
      </c>
      <c r="C521" s="1" t="n">
        <v>1690.0</v>
      </c>
      <c r="D521" s="7" t="n">
        <f>HYPERLINK("https://www.somogyi.hu/product/home-lpc-5m-tapkabel-hosszabbito-5-m-kul-es-belteri-lpc-5m-16378","https://www.somogyi.hu/product/home-lpc-5m-tapkabel-hosszabbito-5-m-kul-es-belteri-lpc-5m-16378")</f>
        <v>0.0</v>
      </c>
      <c r="E521" s="7" t="n">
        <f>HYPERLINK("https://www.somogyi.hu/data/img/product_main_images/small/16378.jpg","https://www.somogyi.hu/data/img/product_main_images/small/16378.jpg")</f>
        <v>0.0</v>
      </c>
      <c r="F521" s="2" t="inlineStr">
        <is>
          <t>5999084944100</t>
        </is>
      </c>
      <c r="G521" s="4" t="inlineStr">
        <is>
          <t>Növelje az LPL 10M fényfüzér lehetőségeit az LPC 5M tápkábel / hosszabbítóval! Ideális választás kül- és beltéri használatra egyaránt. 
Bővítse ki csatlakozási lehetőségeit ezzel az 5 méteres tápkábellel, hogy még több teret fedhessen le dekorációival. 
Ne hagyja, hogy a távolság korlátozza a kreativitását - válassza az LPC 5M tápkábelt, és hozza ki a legtöbbet LPL 10M fényfüzéréből!</t>
        </is>
      </c>
    </row>
    <row r="522">
      <c r="A522" s="3" t="inlineStr">
        <is>
          <t>MLF 26/WH</t>
        </is>
      </c>
      <c r="B522" s="2" t="inlineStr">
        <is>
          <t>Home MLF 26/WH micro LED-es fényfüzér, 2 m / 20 db hidegfehér micro LED, állófényű, átlátszó vezeték, időzíthető, gombelemes, lapos elemtartó, beltéri kivitel</t>
        </is>
      </c>
      <c r="C522" s="1" t="n">
        <v>1150.0</v>
      </c>
      <c r="D522" s="7" t="n">
        <f>HYPERLINK("https://www.somogyi.hu/product/home-mlf-26-wh-micro-led-es-fenyfuzer-2-m-20-db-hidegfeher-micro-led-allofenyu-atlatszo-vezetek-idozitheto-gombelemes-lapos-elemtarto-belteri-kivitel-mlf-26-wh-18136","https://www.somogyi.hu/product/home-mlf-26-wh-micro-led-es-fenyfuzer-2-m-20-db-hidegfeher-micro-led-allofenyu-atlatszo-vezetek-idozitheto-gombelemes-lapos-elemtarto-belteri-kivitel-mlf-26-wh-18136")</f>
        <v>0.0</v>
      </c>
      <c r="E522" s="7" t="n">
        <f>HYPERLINK("https://www.somogyi.hu/data/img/product_main_images/small/18136.jpg","https://www.somogyi.hu/data/img/product_main_images/small/18136.jpg")</f>
        <v>0.0</v>
      </c>
      <c r="F522" s="2" t="inlineStr">
        <is>
          <t>5999084961589</t>
        </is>
      </c>
      <c r="G522" s="4" t="inlineStr">
        <is>
          <t>Szeretne egy diszkrét, mégis látványos megoldást otthoni világításra? Az MLF 26/WH pont az, amire szüksége van!
Ez a beltéri fényfüzér 20 darab hidegfehér, állófényű micro-LED-del varázsolja el szobáját. 
A vékony, átlátszó vezetékkel szinte észrevétlenül simul a környezetébe, így az égők ragyogása kerül előtérbe. 
Az ON / OFF / TIMER funkciójú kapcsolóval pedig tökéletesen időzítheti: 6 órán át világít, majd 18 órán keresztül pihen. 
Az áramforrást a csomagban található 2 x 3 V (CR2032) gombelem biztosítja.
Ne habozzon, emelje otthona hangulatát az MLF 26/WH LED fényfüzérrel - ahol a fények és a design kéz a kézben jár!</t>
        </is>
      </c>
    </row>
    <row r="523">
      <c r="A523" s="3" t="inlineStr">
        <is>
          <t>LPL 10M</t>
        </is>
      </c>
      <c r="B523" s="2" t="inlineStr">
        <is>
          <t>Home LPL 10M LED party fényfüzér, sorolható, állófény, 10 db színes LED</t>
        </is>
      </c>
      <c r="C523" s="1" t="n">
        <v>11190.0</v>
      </c>
      <c r="D523" s="7" t="n">
        <f>HYPERLINK("https://www.somogyi.hu/product/home-lpl-10m-led-party-fenyfuzer-sorolhato-allofeny-10-db-szines-led-lpl-10m-16350","https://www.somogyi.hu/product/home-lpl-10m-led-party-fenyfuzer-sorolhato-allofeny-10-db-szines-led-lpl-10m-16350")</f>
        <v>0.0</v>
      </c>
      <c r="E523" s="7" t="n">
        <f>HYPERLINK("https://www.somogyi.hu/data/img/product_main_images/small/16350.jpg","https://www.somogyi.hu/data/img/product_main_images/small/16350.jpg")</f>
        <v>0.0</v>
      </c>
      <c r="F523" s="2" t="inlineStr">
        <is>
          <t>5999084943820</t>
        </is>
      </c>
      <c r="G523" s="4" t="inlineStr">
        <is>
          <t>Fedezze fel a végtelen lehetőségeket az LPL 10M sorolható LED party fénysorral! 
Varázsolja el a környezetét ezzel a lenyűgöző kül- és beltéri fényfüzérrel, amely 10 színes LED gömböt vonultat fel. 
Az állófényű világítás és a fekete vezeték stílusosan emeli a dekoráció fényét. 
A hálózati csatlakozáshoz az LPA 9W (24 V / 9 W) típusú hálózati adaptert és az LPC 5M tápkábelt használhatja. Egyszerre akár 5 db (25 m) füzért is működtethet egyetlen hálózati csatlakozással! 
Válassza az LPL 10M fénysort, és tegye felejthetetlenné minden alkalmát!</t>
        </is>
      </c>
    </row>
    <row r="524">
      <c r="A524" s="3" t="inlineStr">
        <is>
          <t>LPA 9W</t>
        </is>
      </c>
      <c r="B524" s="2" t="inlineStr">
        <is>
          <t>Home LPA 9W kül- és beltéri hálózati adapter, IP44</t>
        </is>
      </c>
      <c r="C524" s="1" t="n">
        <v>4290.0</v>
      </c>
      <c r="D524" s="7" t="n">
        <f>HYPERLINK("https://www.somogyi.hu/product/home-lpa-9w-kul-es-belteri-halozati-adapter-ip44-lpa-9w-16377","https://www.somogyi.hu/product/home-lpa-9w-kul-es-belteri-halozati-adapter-ip44-lpa-9w-16377")</f>
        <v>0.0</v>
      </c>
      <c r="E524" s="7" t="n">
        <f>HYPERLINK("https://www.somogyi.hu/data/img/product_main_images/small/16377.jpg","https://www.somogyi.hu/data/img/product_main_images/small/16377.jpg")</f>
        <v>0.0</v>
      </c>
      <c r="F524" s="2" t="inlineStr">
        <is>
          <t>5999084944094</t>
        </is>
      </c>
      <c r="G524" s="4" t="inlineStr">
        <is>
          <t>Bővítse az LPL 10M fényfüzér lehetőségeit az LPA 9W kül- és beltéri hálózati adapterrel! 
Az IP44 védettség révén a kültéri használat sem jelent problémát. 
Tegye még hangulatosabbá és fényesebbé környezetét ezzel a megbízható és rugalmas adapterrel. 
Válassza az LPA 9W-t, és hozza ki a legtöbbet LPL 10M fényfüzéréből!</t>
        </is>
      </c>
    </row>
    <row r="525">
      <c r="A525" s="3" t="inlineStr">
        <is>
          <t>MLD 20/WW</t>
        </is>
      </c>
      <c r="B525" s="2" t="inlineStr">
        <is>
          <t>Home MLD 20/WW micro LED-es fényfüzér, 2 m / 20 db melegfehér micro LED, állófényű, átlátszó vezeték, gombelemes, dugó alakú elemtartó, beltéri kivitel</t>
        </is>
      </c>
      <c r="C525" s="1" t="n">
        <v>1050.0</v>
      </c>
      <c r="D525" s="7" t="n">
        <f>HYPERLINK("https://www.somogyi.hu/product/home-mld-20-ww-micro-led-es-fenyfuzer-2-m-20-db-melegfeher-micro-led-allofenyu-atlatszo-vezetek-gombelemes-dugo-alaku-elemtarto-belteri-kivitel-mld-20-ww-16515","https://www.somogyi.hu/product/home-mld-20-ww-micro-led-es-fenyfuzer-2-m-20-db-melegfeher-micro-led-allofenyu-atlatszo-vezetek-gombelemes-dugo-alaku-elemtarto-belteri-kivitel-mld-20-ww-16515")</f>
        <v>0.0</v>
      </c>
      <c r="E525" s="7" t="n">
        <f>HYPERLINK("https://www.somogyi.hu/data/img/product_main_images/small/16515.jpg","https://www.somogyi.hu/data/img/product_main_images/small/16515.jpg")</f>
        <v>0.0</v>
      </c>
      <c r="F525" s="2" t="inlineStr">
        <is>
          <t>5999084945473</t>
        </is>
      </c>
      <c r="G525" s="4" t="inlineStr">
        <is>
          <t>Tegye még emlékezetesebbé otthonát a MLD 20/WW micro-LED-es fényfüzér segítségével! 
Ez a lenyűgöző beltéri dekoráció 20 állófényű, melegfehér micro-LED-del rendelkezik, melyek ékesen pompáznak a vékony, átlátszó vezetéken keresztül. 
A be/ki kapcsolóval könnyedén irányíthatja a fényeket, és a tartozék 2 x 1,5 V (LR44) gombelem biztosítja a tápellátást. 
Teremtsen egyedi hangulatot a melegfehér fényekkel, és varázsolja el magát és vendégeit ezzel a gyönyörű füzérrel!</t>
        </is>
      </c>
    </row>
    <row r="526">
      <c r="A526" s="3" t="inlineStr">
        <is>
          <t>CDS 3</t>
        </is>
      </c>
      <c r="B526" s="2" t="inlineStr">
        <is>
          <t>Home CDS 3 LED-es gyertyaszett üvegben, lángnyelv alakú LED, valódi viasz, 6 cm magas</t>
        </is>
      </c>
      <c r="C526" s="1" t="n">
        <v>6390.0</v>
      </c>
      <c r="D526" s="7" t="n">
        <f>HYPERLINK("https://www.somogyi.hu/product/home-cds-3-led-es-gyertyaszett-uvegben-langnyelv-alaku-led-valodi-viasz-6-cm-magas-cds-3-17351","https://www.somogyi.hu/product/home-cds-3-led-es-gyertyaszett-uvegben-langnyelv-alaku-led-valodi-viasz-6-cm-magas-cds-3-17351")</f>
        <v>0.0</v>
      </c>
      <c r="E526" s="7" t="n">
        <f>HYPERLINK("https://www.somogyi.hu/data/img/product_main_images/small/17351.jpg","https://www.somogyi.hu/data/img/product_main_images/small/17351.jpg")</f>
        <v>0.0</v>
      </c>
      <c r="F526" s="2" t="inlineStr">
        <is>
          <t>5999084953737</t>
        </is>
      </c>
      <c r="G526" s="4" t="inlineStr">
        <is>
          <t xml:space="preserve"> • tápellátás: 2 x 3 V (CR2032) elem , tartozék 
 • méret: Ø5 cm x 10 / 12,5 / 15 cm 
 • egyéb: valódi viasszal • be-/ki kapcsolóval 
 • elhelyezhetőség: beltéri 
 • fényforrás: LED 
 • fényforrások száma: 3 x 1 db 
 • fényforrások színe: melegfehér 
 • funkciók: pislákoló, lángnyelv alakú LED</t>
        </is>
      </c>
    </row>
    <row r="527">
      <c r="A527" s="3" t="inlineStr">
        <is>
          <t>CDX 1</t>
        </is>
      </c>
      <c r="B527" s="2" t="inlineStr">
        <is>
          <t>LED-es temetői mécses, fehér</t>
        </is>
      </c>
      <c r="C527" s="1" t="n">
        <v>639.0</v>
      </c>
      <c r="D527" s="7" t="n">
        <f>HYPERLINK("https://www.somogyi.hu/product/led-es-temetoi-mecses-feher-cdx-1-9839","https://www.somogyi.hu/product/led-es-temetoi-mecses-feher-cdx-1-9839")</f>
        <v>0.0</v>
      </c>
      <c r="E527" s="7" t="n">
        <f>HYPERLINK("https://www.somogyi.hu/data/img/product_main_images/small/09839.jpg","https://www.somogyi.hu/data/img/product_main_images/small/09839.jpg")</f>
        <v>0.0</v>
      </c>
      <c r="F527" s="2" t="inlineStr">
        <is>
          <t>5998312785614</t>
        </is>
      </c>
      <c r="G527" s="4" t="inlineStr">
        <is>
          <t>Keresse Ön is a hangulatos karácsonyi LED-es viaszmécseseket! A CDX 1 típusú LED-es mécses narancssárga színű pislákoló fényt bocsát ki. A LED-es mécses működési ideje kb. 60 nap. Magassága: 8 cm. Tápellátása: 2 x AA (elem). Válassza a minőségi termékeket és rendeljen webáruházunkból!</t>
        </is>
      </c>
    </row>
    <row r="528">
      <c r="A528" s="3" t="inlineStr">
        <is>
          <t>MLD 20/M</t>
        </is>
      </c>
      <c r="B528" s="2" t="inlineStr">
        <is>
          <t>Home MLD 20/M micro LED-es fényfüzér, 2 m / 20 db színes micro LED, állófényű, átlátszó vezeték, gombelemes, beltéri kivitel</t>
        </is>
      </c>
      <c r="C528" s="1" t="n">
        <v>1050.0</v>
      </c>
      <c r="D528" s="7" t="n">
        <f>HYPERLINK("https://www.somogyi.hu/product/home-mld-20-m-micro-led-es-fenyfuzer-2-m-20-db-szines-micro-led-allofenyu-atlatszo-vezetek-gombelemes-belteri-kivitel-mld-20-m-16514","https://www.somogyi.hu/product/home-mld-20-m-micro-led-es-fenyfuzer-2-m-20-db-szines-micro-led-allofenyu-atlatszo-vezetek-gombelemes-belteri-kivitel-mld-20-m-16514")</f>
        <v>0.0</v>
      </c>
      <c r="E528" s="7" t="n">
        <f>HYPERLINK("https://www.somogyi.hu/data/img/product_main_images/small/16514.jpg","https://www.somogyi.hu/data/img/product_main_images/small/16514.jpg")</f>
        <v>0.0</v>
      </c>
      <c r="F528" s="2" t="inlineStr">
        <is>
          <t>5999084945466</t>
        </is>
      </c>
      <c r="G528" s="4" t="inlineStr">
        <is>
          <t>Tegye még emlékezetesebbé otthonát a MLD 20/M micro-LED-es fényfüzér segítségével! 
Ez a lenyűgöző beltéri dekoráció 20 állófényű, színes micro-LED-del rendelkezik, melyek vibráló színekben pompáznak a vékony, átlátszó vezetéken keresztül. 
A be/ki kapcsolóval könnyedén irányíthatja a fényeket, és a tartozék 2 x 1,5 V (LR44) gombelem biztosítja a tápellátást. 
Teremtsen egyedi hangulatot a színes fényekkel, és varázsolja el magát és vendégeit ezzel a gyönyörű füzérrel!</t>
        </is>
      </c>
    </row>
    <row r="529">
      <c r="A529" s="3" t="inlineStr">
        <is>
          <t>MLF 20/WW</t>
        </is>
      </c>
      <c r="B529" s="2" t="inlineStr">
        <is>
          <t>Home MLF 20/WW micro LED-es fényfüzér, 2 m / 20 db melegfehér micro LED, állófényű, átlátszó vezeték, gombelemes, lapos elemtartó, beltéri kivitel</t>
        </is>
      </c>
      <c r="C529" s="1" t="n">
        <v>1090.0</v>
      </c>
      <c r="D529" s="7" t="n">
        <f>HYPERLINK("https://www.somogyi.hu/product/home-mlf-20-ww-micro-led-es-fenyfuzer-2-m-20-db-melegfeher-micro-led-allofenyu-atlatszo-vezetek-gombelemes-lapos-elemtarto-belteri-kivitel-mlf-20-ww-16513","https://www.somogyi.hu/product/home-mlf-20-ww-micro-led-es-fenyfuzer-2-m-20-db-melegfeher-micro-led-allofenyu-atlatszo-vezetek-gombelemes-lapos-elemtarto-belteri-kivitel-mlf-20-ww-16513")</f>
        <v>0.0</v>
      </c>
      <c r="E529" s="7" t="n">
        <f>HYPERLINK("https://www.somogyi.hu/data/img/product_main_images/small/16513.jpg","https://www.somogyi.hu/data/img/product_main_images/small/16513.jpg")</f>
        <v>0.0</v>
      </c>
      <c r="F529" s="2" t="inlineStr">
        <is>
          <t>5999084945459</t>
        </is>
      </c>
      <c r="G529" s="4" t="inlineStr">
        <is>
          <t>Hozza be a melegfehér varázslatot otthonába a MLF 20/WW micro-LED-es füzérrel! 
Ez a lenyűgöző beltéri dekoráció 20 állófényű, melegfehér micro-LED-del rendelkezik, melyek ragyogóan világítanak a vékony, átlátszó vezetéken keresztül. 
A be/ki kapcsolóval könnyedén irányíthatja a fényeket, a tartozék 2 x 3 V (CR2032) gombelem biztosítja a tápellátást. 
Alkossa meg saját varázslatos atmoszféráját ezzel a füzérrel, és teremtsen meghitt hangulatot otthonában!</t>
        </is>
      </c>
    </row>
    <row r="530">
      <c r="A530" s="3" t="inlineStr">
        <is>
          <t>FOL 1</t>
        </is>
      </c>
      <c r="B530" s="2" t="inlineStr">
        <is>
          <t>Home FOL 1 optikai szálas LED lámpa, 3 db LED, 26 cm szálak</t>
        </is>
      </c>
      <c r="C530" s="1" t="n">
        <v>1590.0</v>
      </c>
      <c r="D530" s="7" t="n">
        <f>HYPERLINK("https://www.somogyi.hu/product/home-fol-1-optikai-szalas-led-lampa-3-db-led-26-cm-szalak-fol-1-17723","https://www.somogyi.hu/product/home-fol-1-optikai-szalas-led-lampa-3-db-led-26-cm-szalak-fol-1-17723")</f>
        <v>0.0</v>
      </c>
      <c r="E530" s="7" t="n">
        <f>HYPERLINK("https://www.somogyi.hu/data/img/product_main_images/small/17723.jpg","https://www.somogyi.hu/data/img/product_main_images/small/17723.jpg")</f>
        <v>0.0</v>
      </c>
      <c r="F530" s="2" t="inlineStr">
        <is>
          <t>5999084957452</t>
        </is>
      </c>
      <c r="G530" s="4" t="inlineStr">
        <is>
          <t xml:space="preserve"> • kültéri / beltéri: beltéri 
 • LED-ek színe: piros, kék, zöld 
 • LED-ek száma: 3 db 
 • effektusok: folyamatos színváltás 
 • tápellátás: 3 x AA elem (nem tartozék) 
 • méret: tartó: ∅8 cm x 8 cm • optikai szálak magassága: 26 cm</t>
        </is>
      </c>
    </row>
    <row r="531">
      <c r="A531" s="3" t="inlineStr">
        <is>
          <t>LPL 30/M</t>
        </is>
      </c>
      <c r="B531" s="2" t="inlineStr">
        <is>
          <t>Home LPL 30M fényfüzér, 30 db LED gömb, színes, IP44, kültéri, beltéri</t>
        </is>
      </c>
      <c r="C531" s="1" t="n">
        <v>31990.0</v>
      </c>
      <c r="D531" s="7" t="n">
        <f>HYPERLINK("https://www.somogyi.hu/product/home-lpl-30m-fenyfuzer-30-db-led-gomb-szines-ip44-kulteri-belteri-lpl-30-m-16048","https://www.somogyi.hu/product/home-lpl-30m-fenyfuzer-30-db-led-gomb-szines-ip44-kulteri-belteri-lpl-30-m-16048")</f>
        <v>0.0</v>
      </c>
      <c r="E531" s="7" t="n">
        <f>HYPERLINK("https://www.somogyi.hu/data/img/product_main_images/small/16048.jpg","https://www.somogyi.hu/data/img/product_main_images/small/16048.jpg")</f>
        <v>0.0</v>
      </c>
      <c r="F531" s="2" t="inlineStr">
        <is>
          <t>5999084940805</t>
        </is>
      </c>
      <c r="G531" s="4" t="inlineStr">
        <is>
          <t>Varázsoljon egyedi fényjátékot otthonába az LPL 30/M LED-gömb fénysorral! 
Ez a lenyűgöző füzér tökéletesen alkalmazkodik kül- és beltéri környezetekhez egyaránt. 
A 30 db színes LED-gömb 5 cm átmérőjű műanyag lámpabúráinak harmonikus kombinációjával könnyedén teremthet hangulatos atmoszférát. 
A fekete vezeték diszkréten illeszkedik bármilyen dekorációhoz, a kültéri IP44-es hálózati adapter pedig biztosítja a biztonságos használatot. 
Ne habozzon, fedezze fel a fények varázsát az LPL 30/M fénysorral, és teremtsen egyedi hangulatot minden pillanatban!</t>
        </is>
      </c>
    </row>
    <row r="532">
      <c r="A532" s="3" t="inlineStr">
        <is>
          <t>CDS 2</t>
        </is>
      </c>
      <c r="B532" s="2" t="inlineStr">
        <is>
          <t>Home CDS 2 LED-es gyertyaszett, 2 db, sárga LED, 6 cm magas</t>
        </is>
      </c>
      <c r="C532" s="1" t="n">
        <v>1190.0</v>
      </c>
      <c r="D532" s="7" t="n">
        <f>HYPERLINK("https://www.somogyi.hu/product/home-cds-2-led-es-gyertyaszett-2-db-sarga-led-6-cm-magas-cds-2-16069","https://www.somogyi.hu/product/home-cds-2-led-es-gyertyaszett-2-db-sarga-led-6-cm-magas-cds-2-16069")</f>
        <v>0.0</v>
      </c>
      <c r="E532" s="7" t="n">
        <f>HYPERLINK("https://www.somogyi.hu/data/img/product_main_images/small/16069.jpg","https://www.somogyi.hu/data/img/product_main_images/small/16069.jpg")</f>
        <v>0.0</v>
      </c>
      <c r="F532" s="2" t="inlineStr">
        <is>
          <t>5999084941017</t>
        </is>
      </c>
      <c r="G532" s="4" t="inlineStr">
        <is>
          <t xml:space="preserve"> • LED-ek színe: sárga 
 • LED-ek száma: 1 db 
 • effektusok: pislákoló LED 
 • tápellátás: 1 x CR2032 gombelem (tartozék) 
 • méret: Ø4 x 6 cm 
 • csomagolási egység: 8 szett/display</t>
        </is>
      </c>
    </row>
    <row r="533">
      <c r="A533" s="3" t="inlineStr">
        <is>
          <t>CD 2/WX</t>
        </is>
      </c>
      <c r="B533" s="2" t="inlineStr">
        <is>
          <t>Home CD 2/WX LED-es teamécses, narancssárga LED, 2 db</t>
        </is>
      </c>
      <c r="C533" s="1" t="n">
        <v>729.0</v>
      </c>
      <c r="D533" s="7" t="n">
        <f>HYPERLINK("https://www.somogyi.hu/product/home-cd-2-wx-led-es-teamecses-narancssarga-led-2-db-cd-2-wx-13445","https://www.somogyi.hu/product/home-cd-2-wx-led-es-teamecses-narancssarga-led-2-db-cd-2-wx-13445")</f>
        <v>0.0</v>
      </c>
      <c r="E533" s="7" t="n">
        <f>HYPERLINK("https://www.somogyi.hu/data/img/product_main_images/small/13445.jpg","https://www.somogyi.hu/data/img/product_main_images/small/13445.jpg")</f>
        <v>0.0</v>
      </c>
      <c r="F533" s="2" t="inlineStr">
        <is>
          <t>5999084915315</t>
        </is>
      </c>
      <c r="G533" s="4" t="inlineStr">
        <is>
          <t>Stresszel teli világunkban fontos, hogy megtaláljuk belső egyensúlyunkat, és kellő időt szánjunk a testi és lelki feltöltődésre. A mécsesek nemcsak hangulatosak, hanem kiváló lehetőséget nyújtanak a relaxáláshoz is! Válasszon Ön is egy LED-es teamécsest és tapasztalja meg annak harmonikus fényét.
A CD 2/ WX LED-es teamécses hagyományos színben, 2 db-os kiszerelésben kapható, amelynek esztétikus külsejét a glitter külön fokozza. Mérete: ∅38 mm. Narancssárga színű izzója tökéletes kísérője lehet a meghitt pillanatoknak. Válassza a minőségi terméket és rendeljen webáruházunkból!</t>
        </is>
      </c>
    </row>
    <row r="534">
      <c r="A534" s="3" t="inlineStr">
        <is>
          <t>LPL 10 GLOBE</t>
        </is>
      </c>
      <c r="B534" s="2" t="inlineStr">
        <is>
          <t>Home LPL 10 GLOBE micro LED-es fényfüzér, 4,5 m / 200 db melegfehér micro LED, víztiszta búra, sorolható, fekete gumivezeték, adapter, kül- és beltéri kivitel</t>
        </is>
      </c>
      <c r="C534" s="1" t="n">
        <v>23390.0</v>
      </c>
      <c r="D534" s="7" t="n">
        <f>HYPERLINK("https://www.somogyi.hu/product/home-lpl-10-globe-micro-led-es-fenyfuzer-4-5-m-200-db-melegfeher-micro-led-viztiszta-bura-sorolhato-fekete-gumivezetek-adapter-kul-es-belteri-kivitel-lpl-10-globe-17891","https://www.somogyi.hu/product/home-lpl-10-globe-micro-led-es-fenyfuzer-4-5-m-200-db-melegfeher-micro-led-viztiszta-bura-sorolhato-fekete-gumivezetek-adapter-kul-es-belteri-kivitel-lpl-10-globe-17891")</f>
        <v>0.0</v>
      </c>
      <c r="E534" s="7" t="n">
        <f>HYPERLINK("https://www.somogyi.hu/data/img/product_main_images/small/17891.jpg","https://www.somogyi.hu/data/img/product_main_images/small/17891.jpg")</f>
        <v>0.0</v>
      </c>
      <c r="F534" s="2" t="inlineStr">
        <is>
          <t>5999084959135</t>
        </is>
      </c>
      <c r="G534" s="4" t="inlineStr">
        <is>
          <t>Stílusos világítási megoldást keres, ami a terasztól a nappalin át egészen a kertjéig bárhová illik? A LPL 10 GLOBE az, amire gondolt!
Ez a kül- és beltéri kivitelű fényfüzér kifinomult designjával és ∅8 cm-es víztiszta, műanyag búráival azonnal elvarázsolja. Minden egyes gömb 18 melegfehér, állófényű és 2 villogó LED-del garantálja a tökéletes hangulatot, így összesen 200 micro LED-del. 
A dizájnt a fekete gumivezeték teszi teljessé, mely a sötétben diszkréten simul bármilyen környezetbe. 
A kültéri IP44-es hálózati adapterrel egyszerűen és biztonságosan csatlakoztatható. És ami a legjobb: egy hálózati csatlakozással akár 3 ilyen fényfüzért is egymás után köthet, így összesen 30 LED gömbbel világíthatja be területét!
Ne álljon meg egy terméknél! Az LPL 10 GLOBE tökéletes választás, ha stílusos és egyedi világításra vágyik – de ne felejtse, más termékekkel nem sorolható! Legyen az Ön otthona vagy kertje is a fények játékának színtere!</t>
        </is>
      </c>
    </row>
    <row r="535">
      <c r="A535" s="3" t="inlineStr">
        <is>
          <t>LPL 10 PAPAYA</t>
        </is>
      </c>
      <c r="B535" s="2" t="inlineStr">
        <is>
          <t>Home LPL 10 PAPAYA filament LED-es fényfüzér, 4,5 m / 10 db melegfehér filament LED, víztiszta búra, sorolható, fekete gumivezeték, adapter, kül- és beltéri kivitel</t>
        </is>
      </c>
      <c r="C535" s="1" t="n">
        <v>20490.0</v>
      </c>
      <c r="D535" s="7" t="n">
        <f>HYPERLINK("https://www.somogyi.hu/product/home-lpl-10-papaya-filament-led-es-fenyfuzer-4-5-m-10-db-melegfeher-filament-led-viztiszta-bura-sorolhato-fekete-gumivezetek-adapter-kul-es-belteri-kivitel-lpl-10-papaya-17892","https://www.somogyi.hu/product/home-lpl-10-papaya-filament-led-es-fenyfuzer-4-5-m-10-db-melegfeher-filament-led-viztiszta-bura-sorolhato-fekete-gumivezetek-adapter-kul-es-belteri-kivitel-lpl-10-papaya-17892")</f>
        <v>0.0</v>
      </c>
      <c r="E535" s="7" t="n">
        <f>HYPERLINK("https://www.somogyi.hu/data/img/product_main_images/small/17892.jpg","https://www.somogyi.hu/data/img/product_main_images/small/17892.jpg")</f>
        <v>0.0</v>
      </c>
      <c r="F535" s="2" t="inlineStr">
        <is>
          <t>5999084959142</t>
        </is>
      </c>
      <c r="G535" s="4" t="inlineStr">
        <is>
          <t>Szeretne vidám hangulatot csempészni otthonába vagy kertjébe, még a szürke hétköznapokon is? A LPL 10 PAPAYA pontosan ezt kínálja Önnek!
Ez a kül- és beltéri kivitelű fényfüzér egyszerre hozza el Önnek a modern dizájnt és a jó hangulatot, köszönhetően a 10 víztiszta, műanyag papaya alakú búrájának. 
Minden egyes búra szívében 1 db melegfehér, állófényű filament LED gyöngyözik, ami igazi melegséget kölcsönöz a környezetének. A fekete gumivezeték diszkréten, mégis stílusosan egészíti ki a dizájnt. 
A kültéri IP44-es hálózati adapter pedig biztosítja a megbízható működést. És a legjobb hír: ha több fényre vágyik, egy hálózati csatlakozással akár 3 darab LPL 10 PAPAYA-t is sorolhat, így 30 papaya búrával dobná fel környezetét!
Ne hagyja ki ezt a lehetőséget! Az LPL 10 PAPAYA nem csak világít, hanem hangulatot is teremt!</t>
        </is>
      </c>
    </row>
    <row r="536">
      <c r="A536" s="6" t="inlineStr">
        <is>
          <t xml:space="preserve">   Világítás / Hangulatvilágítás</t>
        </is>
      </c>
      <c r="B536" s="6" t="inlineStr">
        <is>
          <t/>
        </is>
      </c>
      <c r="C536" s="6" t="inlineStr">
        <is>
          <t/>
        </is>
      </c>
      <c r="D536" s="6" t="inlineStr">
        <is>
          <t/>
        </is>
      </c>
      <c r="E536" s="6" t="inlineStr">
        <is>
          <t/>
        </is>
      </c>
      <c r="F536" s="6" t="inlineStr">
        <is>
          <t/>
        </is>
      </c>
      <c r="G536" s="6" t="inlineStr">
        <is>
          <t/>
        </is>
      </c>
    </row>
    <row r="537">
      <c r="A537" s="3" t="inlineStr">
        <is>
          <t>LTN 33 FP</t>
        </is>
      </c>
      <c r="B537" s="2" t="inlineStr">
        <is>
          <t>Home LTN 33 FP elemes látványkandalló, üveg előlap, fehér műanyag ház</t>
        </is>
      </c>
      <c r="C537" s="1" t="n">
        <v>9590.0</v>
      </c>
      <c r="D537" s="7" t="n">
        <f>HYPERLINK("https://www.somogyi.hu/product/home-ltn-33-fp-elemes-latvanykandallo-uveg-elolap-feher-muanyag-haz-ltn-33-fp-18103","https://www.somogyi.hu/product/home-ltn-33-fp-elemes-latvanykandallo-uveg-elolap-feher-muanyag-haz-ltn-33-fp-18103")</f>
        <v>0.0</v>
      </c>
      <c r="E537" s="7" t="n">
        <f>HYPERLINK("https://www.somogyi.hu/data/img/product_main_images/small/18103.jpg","https://www.somogyi.hu/data/img/product_main_images/small/18103.jpg")</f>
        <v>0.0</v>
      </c>
      <c r="F537" s="2" t="inlineStr">
        <is>
          <t>5999084961251</t>
        </is>
      </c>
      <c r="G537" s="4" t="inlineStr">
        <is>
          <t xml:space="preserve"> • színe: fehér 
 • fényforrás típusa: LED 
 • tápellátás: 3 x 1,5 V (C) elem, nem tartozék • adapterről is üzemeltethető, nem tartozék (ajánlott	MW MA06/G ) 
 • méret: 33 x 21 x 11 cm 
 • elhelyezhetőség: beltéri 
 • be- / kikapcsolás: kézi 
 • anyaga: műanyag ház, üveg előlap 
 • jellemzők: fűtési funkció nélkül</t>
        </is>
      </c>
    </row>
    <row r="538">
      <c r="A538" s="3" t="inlineStr">
        <is>
          <t>LTN 64 FP</t>
        </is>
      </c>
      <c r="B538" s="2" t="inlineStr">
        <is>
          <t>Home LTN 64 FP elemes látványkandalló, üveg előlap, fehér műanyag ház</t>
        </is>
      </c>
      <c r="C538" s="1" t="n">
        <v>16190.0</v>
      </c>
      <c r="D538" s="7" t="n">
        <f>HYPERLINK("https://www.somogyi.hu/product/home-ltn-64-fp-elemes-latvanykandallo-uveg-elolap-feher-muanyag-haz-ltn-64-fp-18104","https://www.somogyi.hu/product/home-ltn-64-fp-elemes-latvanykandallo-uveg-elolap-feher-muanyag-haz-ltn-64-fp-18104")</f>
        <v>0.0</v>
      </c>
      <c r="E538" s="7" t="n">
        <f>HYPERLINK("https://www.somogyi.hu/data/img/product_main_images/small/18104.jpg","https://www.somogyi.hu/data/img/product_main_images/small/18104.jpg")</f>
        <v>0.0</v>
      </c>
      <c r="F538" s="2" t="inlineStr">
        <is>
          <t>5999084961268</t>
        </is>
      </c>
      <c r="G538" s="4" t="inlineStr">
        <is>
          <t xml:space="preserve"> • színe: fehér 
 • fényforrás típusa: LED 
 • tápellátás: 3 x 1,5 V (C) elem, nem tartozék • adapterről is üzemeltethető, nem tartozék (ajánlott	MW MA06/G+) 
 • méret: 64,5 x 22 x 12,5 cm 
 • elhelyezhetőség: beltéri 
 • be- / kikapcsolás: kézi 
 • anyaga: műanyag ház, üveg előlap 
 • jellemzők: fűtési funkció nélkül</t>
        </is>
      </c>
    </row>
    <row r="539">
      <c r="A539" s="6" t="inlineStr">
        <is>
          <t xml:space="preserve">   Világítás / Diszkólámpa, okos fényforrás</t>
        </is>
      </c>
      <c r="B539" s="6" t="inlineStr">
        <is>
          <t/>
        </is>
      </c>
      <c r="C539" s="6" t="inlineStr">
        <is>
          <t/>
        </is>
      </c>
      <c r="D539" s="6" t="inlineStr">
        <is>
          <t/>
        </is>
      </c>
      <c r="E539" s="6" t="inlineStr">
        <is>
          <t/>
        </is>
      </c>
      <c r="F539" s="6" t="inlineStr">
        <is>
          <t/>
        </is>
      </c>
      <c r="G539" s="6" t="inlineStr">
        <is>
          <t/>
        </is>
      </c>
    </row>
    <row r="540">
      <c r="A540" s="3" t="inlineStr">
        <is>
          <t>DL 4/27</t>
        </is>
      </c>
      <c r="B540" s="2" t="inlineStr">
        <is>
          <t>Home DL 4/27 LED diszkólámpa, 360°forgó búra, 3 x 1 W RGB LED</t>
        </is>
      </c>
      <c r="C540" s="1" t="n">
        <v>4090.0</v>
      </c>
      <c r="D540" s="7" t="n">
        <f>HYPERLINK("https://www.somogyi.hu/product/home-dl-4-27-led-diszkolampa-360-forgo-bura-3-x-1-w-rgb-led-dl-4-27-16943","https://www.somogyi.hu/product/home-dl-4-27-led-diszkolampa-360-forgo-bura-3-x-1-w-rgb-led-dl-4-27-16943")</f>
        <v>0.0</v>
      </c>
      <c r="E540" s="7" t="n">
        <f>HYPERLINK("https://www.somogyi.hu/data/img/product_main_images/small/16943.jpg","https://www.somogyi.hu/data/img/product_main_images/small/16943.jpg")</f>
        <v>0.0</v>
      </c>
      <c r="F540" s="2" t="inlineStr">
        <is>
          <t>5999084949754</t>
        </is>
      </c>
      <c r="G540" s="4" t="inlineStr">
        <is>
          <t>A LED-es Diszkólámpa mostantól garantáltan feldobja bármelyik eseményét. Ez az innovatív lámpa látvány és a hangulat megteremtésére lett tervezve.
360 fokban forgó búrával rendelkezik, amely lenyűgöző fényeket vetít szét minden irányban, legyen az akár egy klub, bár, terem vagy nappali, ez a lámpa képes megtölteni a teret látványos fényekkel és színekkel.
A lámpa 3 darab 1(W) piros, zöld és kék LED fényforrással rendelkezik, amelyek energiatakarékos POWER LED technológiát alkalmaznak. 
Ez nem csak környezetbarát, hanem hosszú élettartamot is biztosít a fényforrásoknak.
Válassza az eleganciát és a fények varázsát! Rendelje meg a DL 4/27-et még ma, és tegye felejthetetlenné minden rendezvényét!</t>
        </is>
      </c>
    </row>
    <row r="541">
      <c r="A541" s="6" t="inlineStr">
        <is>
          <t xml:space="preserve">   Világítás / Mozgásérzékelős lámpa, irányfény</t>
        </is>
      </c>
      <c r="B541" s="6" t="inlineStr">
        <is>
          <t/>
        </is>
      </c>
      <c r="C541" s="6" t="inlineStr">
        <is>
          <t/>
        </is>
      </c>
      <c r="D541" s="6" t="inlineStr">
        <is>
          <t/>
        </is>
      </c>
      <c r="E541" s="6" t="inlineStr">
        <is>
          <t/>
        </is>
      </c>
      <c r="F541" s="6" t="inlineStr">
        <is>
          <t/>
        </is>
      </c>
      <c r="G541" s="6" t="inlineStr">
        <is>
          <t/>
        </is>
      </c>
    </row>
    <row r="542">
      <c r="A542" s="3" t="inlineStr">
        <is>
          <t>SNL 300/T</t>
        </is>
      </c>
      <c r="B542" s="2" t="inlineStr">
        <is>
          <t>Home SNL 300/T izzó, 7 W, E14, 2/csomag</t>
        </is>
      </c>
      <c r="C542" s="1" t="n">
        <v>749.0</v>
      </c>
      <c r="D542" s="7" t="n">
        <f>HYPERLINK("https://www.somogyi.hu/product/home-snl-300-t-izzo-7-w-e14-2-csomag-snl-300-t-4862","https://www.somogyi.hu/product/home-snl-300-t-izzo-7-w-e14-2-csomag-snl-300-t-4862")</f>
        <v>0.0</v>
      </c>
      <c r="E542" s="7" t="n">
        <f>HYPERLINK("https://www.somogyi.hu/data/img/product_main_images/small/04862.jpg","https://www.somogyi.hu/data/img/product_main_images/small/04862.jpg")</f>
        <v>0.0</v>
      </c>
      <c r="F542" s="2" t="inlineStr">
        <is>
          <t>5998312743003</t>
        </is>
      </c>
      <c r="G542" s="4" t="inlineStr">
        <is>
          <t>SNL 310-es irányfényhez keres izzót? Akkor az SNL 300/T lesz a megfelelő választás az ÖN számára! A 7 W-os izzó garantálja a kívánt teljesítményt, amely az E-14-es foglalattal rendelkezik. Válassza a legjobb minőséget és rendelje meg webáruházunkból!</t>
        </is>
      </c>
    </row>
    <row r="543">
      <c r="A543" s="3" t="inlineStr">
        <is>
          <t>PNL 6</t>
        </is>
      </c>
      <c r="B543" s="2" t="inlineStr">
        <is>
          <t>Home PNL 6 LED mozgásérzékelős lámpa, melegfehér, mágneses</t>
        </is>
      </c>
      <c r="C543" s="1" t="n">
        <v>2190.0</v>
      </c>
      <c r="D543" s="7" t="n">
        <f>HYPERLINK("https://www.somogyi.hu/product/home-pnl-6-led-mozgaserzekelos-lampa-melegfeher-magneses-pnl-6-18112","https://www.somogyi.hu/product/home-pnl-6-led-mozgaserzekelos-lampa-melegfeher-magneses-pnl-6-18112")</f>
        <v>0.0</v>
      </c>
      <c r="E543" s="7" t="n">
        <f>HYPERLINK("https://www.somogyi.hu/data/img/product_main_images/small/18112.jpg","https://www.somogyi.hu/data/img/product_main_images/small/18112.jpg")</f>
        <v>0.0</v>
      </c>
      <c r="F543" s="2" t="inlineStr">
        <is>
          <t>5999084961343</t>
        </is>
      </c>
      <c r="G543" s="4" t="inlineStr">
        <is>
          <t xml:space="preserve"> • fényforrás: LED 
 • LED-ek száma: 5 db 
 • LED-ek színe: melegfehér 
 • PIR mozgásérzékelő: van 
 • érzékelési szög: horizontális: ~120° / vertikális: ~100° 
 • érzékelési távolság: ~3 m 
 • fényérzékelő: van 
 • utolsó mozgás utáni világítási idő: ~15...20 másodperc 
 • falra szerelhető: igen 
 • felakasztható: igen 
 • sík felületre helyezhető: igen 
 • tápellátás: 3 x 1,5 V (AAA) elem, nem tartozék 
 • méret: ∅8,1 x 2,4 cm 
 • funkciók: mozgásra automatikusan bekapcsol 
 • jellemzők: takarékos: világos környezetben nem világít • szembarát, kellemes melegfehér fényt ad • nem vakít, derített fényt biztosít 
 • tartozék: beépített mágnes, öntapadós fémlap, kétoldalú ragasztó, akasztószalag</t>
        </is>
      </c>
    </row>
    <row r="544">
      <c r="A544" s="3" t="inlineStr">
        <is>
          <t>LNL 800</t>
        </is>
      </c>
      <c r="B544" s="2" t="inlineStr">
        <is>
          <t>Home LNL 800 irányfény, 8 db LED, kapcsolható, mozgásérzékelő, 3 funkció</t>
        </is>
      </c>
      <c r="C544" s="1" t="n">
        <v>1850.0</v>
      </c>
      <c r="D544" s="7" t="n">
        <f>HYPERLINK("https://www.somogyi.hu/product/home-lnl-800-iranyfeny-8-db-led-kapcsolhato-mozgaserzekelo-3-funkcio-lnl-800-18304","https://www.somogyi.hu/product/home-lnl-800-iranyfeny-8-db-led-kapcsolhato-mozgaserzekelo-3-funkcio-lnl-800-18304")</f>
        <v>0.0</v>
      </c>
      <c r="E544" s="7" t="n">
        <f>HYPERLINK("https://www.somogyi.hu/data/img/product_main_images/small/18304.jpg","https://www.somogyi.hu/data/img/product_main_images/small/18304.jpg")</f>
        <v>0.0</v>
      </c>
      <c r="F544" s="2" t="inlineStr">
        <is>
          <t>5999084963262</t>
        </is>
      </c>
      <c r="G544" s="4" t="inlineStr">
        <is>
          <t>Ön is tapasztalta már a kellemetlen érzést, amikor sötétben botorkál otthona folyosóján vagy lépcsőházában? A Home LNL 800 irányfény megoldást kínál erre a problémára.
Korszerű megjelenésű és energiatakarékos, a termék 4 darab melegfehér és 4 darab hidegfehér hosszú élettartamú LED-del rendelkezik, biztosítva ezzel a megfelelő fényerőt és atmoszférát. A fények színhőmérséklete könnyedén kiválasztható a hidegfehér (6400K), a természetes (4200K), és a melegfehér (2700K) opciók közül, így azok bármelyik helyiség hangulatához alkalmazkodnak.
A készülék ki- és bekapcsolását egy egyszerű kapcsolóval irányíthatja, ami növeli a használati kényelmet. Kifejezetten beltéri használatra tervezték, így otthona bármelyik sarkában tökéletesen funkcionál, legyen szó hálószobáról, előszobáról vagy akár a lépcsőházról. Tápellátása rendkívül gazdaságos: csupán 230V~/50Hz feszültségre és maximum 1 watt teljesítményre van szüksége, így hosszútávon is pénztárcakímélő választás.
Ne hagyja, hogy a sötétség akadályozza otthoni teendőiben! A Home LNL 800 irányfény nem csak biztonságosabbá, de hangulatosabbá is teszi otthonát. Rendelje meg most, és élvezze a megbízható és stílusos megvilágítás előnyeit!</t>
        </is>
      </c>
    </row>
    <row r="545">
      <c r="A545" s="3" t="inlineStr">
        <is>
          <t>SLL 500</t>
        </is>
      </c>
      <c r="B545" s="2" t="inlineStr">
        <is>
          <t>Home SLL 500 LED irányfény, fényérzékelő, automata fényerő, beltéri, 5 LED</t>
        </is>
      </c>
      <c r="C545" s="1" t="n">
        <v>2590.0</v>
      </c>
      <c r="D545" s="7" t="n">
        <f>HYPERLINK("https://www.somogyi.hu/product/home-sll-500-led-iranyfeny-fenyerzekelo-automata-fenyero-belteri-5-led-sll-500-9328","https://www.somogyi.hu/product/home-sll-500-led-iranyfeny-fenyerzekelo-automata-fenyero-belteri-5-led-sll-500-9328")</f>
        <v>0.0</v>
      </c>
      <c r="E545" s="7" t="n">
        <f>HYPERLINK("https://www.somogyi.hu/data/img/product_main_images/small/09328.jpg","https://www.somogyi.hu/data/img/product_main_images/small/09328.jpg")</f>
        <v>0.0</v>
      </c>
      <c r="F545" s="2" t="inlineStr">
        <is>
          <t>5998312781357</t>
        </is>
      </c>
      <c r="G545" s="4" t="inlineStr">
        <is>
          <t>Gyakran felébred az éjszaka közepén? Jól jönne ilyenkor, ha lenne egy kis fény és nem kellene a villanykapcsoló után matatni? Ez esetben Önnek az SLL 500-as Led-es fényérzékelős irányfényre lesz szüksége! 
Az irányfény 5 db hosszú élettartamú LED-el lett ellátva. Előnye, hogy a LED-es izzók előnye, hogy nem bántják a szemet, sőt nyugtató hatással vannak az alvó személyre. A termék további különlegessége, hogy nem csak a be és kikapcsolása történik automatikusan, hanem a fényerőszabályozása is Mérete: 4,3 X 11,5 X 4 cm. 
Válassza a pihenéshez a legjobb minőséget és rendelje meg webáruházunkból!</t>
        </is>
      </c>
    </row>
    <row r="546">
      <c r="A546" s="3" t="inlineStr">
        <is>
          <t>LNL 120</t>
        </is>
      </c>
      <c r="B546" s="2" t="inlineStr">
        <is>
          <t>Home LNL 120 irányfény, 3 db LED, kapcsolható, beltéri, alacsony fogyasztás</t>
        </is>
      </c>
      <c r="C546" s="1" t="n">
        <v>1990.0</v>
      </c>
      <c r="D546" s="7" t="n">
        <f>HYPERLINK("https://www.somogyi.hu/product/home-lnl-120-iranyfeny-3-db-led-kapcsolhato-belteri-alacsony-fogyasztas-lnl-120-9325","https://www.somogyi.hu/product/home-lnl-120-iranyfeny-3-db-led-kapcsolhato-belteri-alacsony-fogyasztas-lnl-120-9325")</f>
        <v>0.0</v>
      </c>
      <c r="E546" s="7" t="n">
        <f>HYPERLINK("https://www.somogyi.hu/data/img/product_main_images/small/09325.jpg","https://www.somogyi.hu/data/img/product_main_images/small/09325.jpg")</f>
        <v>0.0</v>
      </c>
      <c r="F546" s="2" t="inlineStr">
        <is>
          <t>5998312781333</t>
        </is>
      </c>
      <c r="G546" s="4" t="inlineStr">
        <is>
          <t>Kedveli a LED-es termékeket? Ez esetben a LED-es kapcsolós irányfényben garantáltan az örömét fogja lelni.
Előnye, hogyha éjszakánként felébred, nem kell bátortalanul a villanykapcsoló után matatni, hiszen a 3 db hosszú élettartamú LED kellő fényt biztosít a biztonságos közlekedéshez. Az fényforrás további előnye, hogy nem bántják a szemet. A terméket rendkívül alacsony fogyasztás jellemzi. Mérete: 7 X 6,7 X 2,5 cm. 
Válassza Ön is az éjszakai pihenéshez a legjobb minőséget és rendelje meg webáruházunkból!</t>
        </is>
      </c>
    </row>
    <row r="547">
      <c r="A547" s="3" t="inlineStr">
        <is>
          <t>PNL 22</t>
        </is>
      </c>
      <c r="B547" s="2" t="inlineStr">
        <is>
          <t>Home PNL 22 LED lépcsővilágítás, mozgásérzékelős, 2 W COB LED, mágneses</t>
        </is>
      </c>
      <c r="C547" s="1" t="n">
        <v>4390.0</v>
      </c>
      <c r="D547" s="7" t="n">
        <f>HYPERLINK("https://www.somogyi.hu/product/home-pnl-22-led-lepcsovilagitas-mozgaserzekelos-2-w-cob-led-magneses-pnl-22-17550","https://www.somogyi.hu/product/home-pnl-22-led-lepcsovilagitas-mozgaserzekelos-2-w-cob-led-magneses-pnl-22-17550")</f>
        <v>0.0</v>
      </c>
      <c r="E547" s="7" t="n">
        <f>HYPERLINK("https://www.somogyi.hu/data/img/product_main_images/small/17550.jpg","https://www.somogyi.hu/data/img/product_main_images/small/17550.jpg")</f>
        <v>0.0</v>
      </c>
      <c r="F547" s="2" t="inlineStr">
        <is>
          <t>5999084955724</t>
        </is>
      </c>
      <c r="G547" s="4" t="inlineStr">
        <is>
          <t>Ön is szereti, ha otthona biztonságos és stílusosan megvilágított, különösen a lépcsőknél? A Home PNL 22 LED lépcsővilágítás tökéletes megoldást nyújt ezen igények kielégítésére.
Ez a modern lépcsővilágítási rendszer 2 wattos melegfehér COB LED irányfénnyel rendelkezik, amely kellemes atmoszférát teremt, miközben biztosítja a lépcsők megfelelő megvilágítását. Ráadásul a borostyánsárga éjszakai fény opcióval is fel van szerelve, ami éjjel segít tájékozódni anélkül, hogy felébresztené a háztartás többi tagját. A beépített PIR mozgásérzékelő automatikusan aktiválja a világítást, ha mozgást érzékel 4 méteres távolságon belül, 120°-os látószögben, így mindig biztonságban érezheti magát otthona minden lépésénél.
A mágneses rögzítési rendszernek köszönhetően a lépcsővilágítás egyszerűen telepíthető bármely fémes felületre, és nem igényel bonyolult szerelést. Az egység tartalmaz két darab világítótestet, így több lépcsőfok is megvilágítható egyszerre.
Biztosítsa otthona biztonságos és kényelmes közlekedését a Home PNL 22 LED lépcsővilágítással, amely nem csak praktikus, hanem esztétikailag is hozzájárul otthona hangulatához. Ne várjon tovább, tegye otthonát biztonságosabbá és vonzóbbá még ma!</t>
        </is>
      </c>
    </row>
    <row r="548">
      <c r="A548" s="3" t="inlineStr">
        <is>
          <t>PNL 7</t>
        </is>
      </c>
      <c r="B548" s="2" t="inlineStr">
        <is>
          <t>Home PNL 7 LED mozgásérzékelős lámpa, hidegfehér, mágneses, kézilámpaként is használható</t>
        </is>
      </c>
      <c r="C548" s="1" t="n">
        <v>2590.0</v>
      </c>
      <c r="D548" s="7" t="n">
        <f>HYPERLINK("https://www.somogyi.hu/product/home-pnl-7-led-mozgaserzekelos-lampa-hidegfeher-magneses-kezilampakent-is-hasznalhato-pnl-7-18113","https://www.somogyi.hu/product/home-pnl-7-led-mozgaserzekelos-lampa-hidegfeher-magneses-kezilampakent-is-hasznalhato-pnl-7-18113")</f>
        <v>0.0</v>
      </c>
      <c r="E548" s="7" t="n">
        <f>HYPERLINK("https://www.somogyi.hu/data/img/product_main_images/small/18113.jpg","https://www.somogyi.hu/data/img/product_main_images/small/18113.jpg")</f>
        <v>0.0</v>
      </c>
      <c r="F548" s="2" t="inlineStr">
        <is>
          <t>5999084961350</t>
        </is>
      </c>
      <c r="G548" s="4" t="inlineStr">
        <is>
          <t xml:space="preserve"> • fényforrás: LED 
 • LED-ek színe: hidegfehér 
 • PIR mozgásérzékelő: van 
 • érzékelési szög: horizontális: ~120° / vertikális: ~100° 
 • érzékelési távolság: ~6 m 
 • fényérzékelő: van 
 • kapcsoló: van 
 • üzemmódok: be / automatikus / ki 
 • utolsó mozgás utáni világítási idő: ~20 másodperc 
 • tápellátás: 4 x 1,5 V (AAA) elem, nem tartozék 
 • méret: 23,6 x 3 x 1,4 cm 
 • funkciók: automatikus vagy folyamatos fény módok 
 • jellemzők: takarékos: világos környezetben nem kapcsol be • otthoni, kézi lámpaként is praktikus • ideális bútorban, garázsban, közlekedési útvonalon • rögzíthető: mágnessel vagy öntapadó ragasztással 
 • tartozék: beépített mágnes, öntapadós fémlap</t>
        </is>
      </c>
    </row>
    <row r="549">
      <c r="A549" s="3" t="inlineStr">
        <is>
          <t>LNL 500</t>
        </is>
      </c>
      <c r="B549" s="2" t="inlineStr">
        <is>
          <t>Home LNL 500 irányfény, 5 db LED, beltéri, alacsony fogyasztás</t>
        </is>
      </c>
      <c r="C549" s="1" t="n">
        <v>2290.0</v>
      </c>
      <c r="D549" s="7" t="n">
        <f>HYPERLINK("https://www.somogyi.hu/product/home-lnl-500-iranyfeny-5-db-led-belteri-alacsony-fogyasztas-lnl-500-9327","https://www.somogyi.hu/product/home-lnl-500-iranyfeny-5-db-led-belteri-alacsony-fogyasztas-lnl-500-9327")</f>
        <v>0.0</v>
      </c>
      <c r="E549" s="7" t="n">
        <f>HYPERLINK("https://www.somogyi.hu/data/img/product_main_images/small/09327.jpg","https://www.somogyi.hu/data/img/product_main_images/small/09327.jpg")</f>
        <v>0.0</v>
      </c>
      <c r="F549" s="2" t="inlineStr">
        <is>
          <t>5998312781340</t>
        </is>
      </c>
      <c r="G549" s="4" t="inlineStr">
        <is>
          <t>Kedveli a LED-es termékeket? Ez esetben a LED-es kapcsolós irányfény garantáltan jó szolgálatot fog Önnek tenni. 
Előnye, hogyha éjszakánként felébred, nem kell bátortalanul a villanykapcsoló után matatni, hiszen az 5 db hosszú élettartamú LED kellő fényt biztosít a biztonságos közlekedéshez. A LED-es izzók előnye, hogy nem bántják a szemet, sőt inkább kifejezetten nyugtató hatással vannak az alvó személyre. A termék használatának további előnye, hogy rendkívül alacsony fogyasztás jellemzi. Mérete:4,3 x 11,5 x 4cm.
Válassza Ön is az éjszakai pihenéshez a legjobb minőséget és rendelje meg webáruházunkból!</t>
        </is>
      </c>
    </row>
    <row r="550">
      <c r="A550" s="3" t="inlineStr">
        <is>
          <t>PNL 5</t>
        </is>
      </c>
      <c r="B550" s="2" t="inlineStr">
        <is>
          <t>Home PNL 5 LED mozgásérzékelős lámpa, 2 W COB LED, forgatható, melegfehér, mágneses, 3 üzemmód</t>
        </is>
      </c>
      <c r="C550" s="1" t="n">
        <v>3790.0</v>
      </c>
      <c r="D550" s="7" t="n">
        <f>HYPERLINK("https://www.somogyi.hu/product/home-pnl-5-led-mozgaserzekelos-lampa-2-w-cob-led-forgathato-melegfeher-magneses-3-uzemmod-pnl-5-16195","https://www.somogyi.hu/product/home-pnl-5-led-mozgaserzekelos-lampa-2-w-cob-led-forgathato-melegfeher-magneses-3-uzemmod-pnl-5-16195")</f>
        <v>0.0</v>
      </c>
      <c r="E550" s="7" t="n">
        <f>HYPERLINK("https://www.somogyi.hu/data/img/product_main_images/small/16195.jpg","https://www.somogyi.hu/data/img/product_main_images/small/16195.jpg")</f>
        <v>0.0</v>
      </c>
      <c r="F550" s="2" t="inlineStr">
        <is>
          <t>5999084942274</t>
        </is>
      </c>
      <c r="G550" s="4" t="inlineStr">
        <is>
          <t>A PNL 5 LED-es mozgásérzékelős forgatható lámpa fényerejét a 2 W-os COB LED biztosítja. A PIR mozgásérzékelőnek köszönhetően csak akkor lép működésbe a lámpa, amikor tényleg szükség van rá. 110°-ban érzékeli a mozgást 4 m távolságban. A mágneses talp, a hozzá tartozó kétoldalas ragasztó és a csavarok segítségével számos helyre felszerelheti. 
Tápellátása 3 db 1,5 V (AAA) elem, melyet nem tartalmaz a csomagolás.</t>
        </is>
      </c>
    </row>
    <row r="551">
      <c r="A551" s="6" t="inlineStr">
        <is>
          <t xml:space="preserve">   Világítás / Kempinglámpa</t>
        </is>
      </c>
      <c r="B551" s="6" t="inlineStr">
        <is>
          <t/>
        </is>
      </c>
      <c r="C551" s="6" t="inlineStr">
        <is>
          <t/>
        </is>
      </c>
      <c r="D551" s="6" t="inlineStr">
        <is>
          <t/>
        </is>
      </c>
      <c r="E551" s="6" t="inlineStr">
        <is>
          <t/>
        </is>
      </c>
      <c r="F551" s="6" t="inlineStr">
        <is>
          <t/>
        </is>
      </c>
      <c r="G551" s="6" t="inlineStr">
        <is>
          <t/>
        </is>
      </c>
    </row>
    <row r="552">
      <c r="A552" s="3" t="inlineStr">
        <is>
          <t>PLZ 1/WH</t>
        </is>
      </c>
      <c r="B552" s="2" t="inlineStr">
        <is>
          <t>Home PLZ 1/WH zsinórlámpa, LED</t>
        </is>
      </c>
      <c r="C552" s="1" t="n">
        <v>1290.0</v>
      </c>
      <c r="D552" s="7" t="n">
        <f>HYPERLINK("https://www.somogyi.hu/product/home-plz-1-wh-zsinorlampa-led-plz-1-wh-14728","https://www.somogyi.hu/product/home-plz-1-wh-zsinorlampa-led-plz-1-wh-14728")</f>
        <v>0.0</v>
      </c>
      <c r="E552" s="7" t="n">
        <f>HYPERLINK("https://www.somogyi.hu/data/img/product_main_images/small/14728.jpg","https://www.somogyi.hu/data/img/product_main_images/small/14728.jpg")</f>
        <v>0.0</v>
      </c>
      <c r="F552" s="2" t="inlineStr">
        <is>
          <t>5999084927707</t>
        </is>
      </c>
      <c r="G552" s="4" t="inlineStr">
        <is>
          <t>Használja a beltéri kivitelre szánt fehér zsinórlámpát. A készülék a zsinór meghúzásával ki/be kapcsolható. Hossza: 100 cm. Válassza a minőségi termékeket és rendeljen webáruházunkból.</t>
        </is>
      </c>
    </row>
    <row r="553">
      <c r="A553" s="6" t="inlineStr">
        <is>
          <t xml:space="preserve">   Világítás / Kézilámpa</t>
        </is>
      </c>
      <c r="B553" s="6" t="inlineStr">
        <is>
          <t/>
        </is>
      </c>
      <c r="C553" s="6" t="inlineStr">
        <is>
          <t/>
        </is>
      </c>
      <c r="D553" s="6" t="inlineStr">
        <is>
          <t/>
        </is>
      </c>
      <c r="E553" s="6" t="inlineStr">
        <is>
          <t/>
        </is>
      </c>
      <c r="F553" s="6" t="inlineStr">
        <is>
          <t/>
        </is>
      </c>
      <c r="G553" s="6" t="inlineStr">
        <is>
          <t/>
        </is>
      </c>
    </row>
    <row r="554">
      <c r="A554" s="3" t="inlineStr">
        <is>
          <t>PSL 01</t>
        </is>
      </c>
      <c r="B554" s="2" t="inlineStr">
        <is>
          <t>Home PSL 01 akkumulátoros keresőlámpa, 10 W LED, 850 lm - 3 óra/400 m, 250 lm - 9 óra/150 m, 4000 mAh</t>
        </is>
      </c>
      <c r="C554" s="1" t="n">
        <v>10990.0</v>
      </c>
      <c r="D554" s="7" t="n">
        <f>HYPERLINK("https://www.somogyi.hu/product/home-psl-01-akkumulatoros-keresolampa-10-w-led-850-lm-3-ora-400-m-250-lm-9-ora-150-m-4000-mah-psl-01-17598","https://www.somogyi.hu/product/home-psl-01-akkumulatoros-keresolampa-10-w-led-850-lm-3-ora-400-m-250-lm-9-ora-150-m-4000-mah-psl-01-17598")</f>
        <v>0.0</v>
      </c>
      <c r="E554" s="7" t="n">
        <f>HYPERLINK("https://www.somogyi.hu/data/img/product_main_images/small/17598.jpg","https://www.somogyi.hu/data/img/product_main_images/small/17598.jpg")</f>
        <v>0.0</v>
      </c>
      <c r="F554" s="2" t="inlineStr">
        <is>
          <t>5999084956202</t>
        </is>
      </c>
      <c r="G554" s="4" t="inlineStr">
        <is>
          <t>A PSL 01 Akkumulátoros keresőlámpa, elemlámpa nagy fényerejű 10 W-os leddel ellátott. A 850 lm nagy fényerővel 3 órán át 400 m távolságig képes világítani, valamint 250 lm kis fényerőn 9 órán keresztül 150 m távolságig világít. 4000 mAh Li- ion akkumulátor került beépítésre az elemlámpába. 
További hasznos tulajdonságai, hogy forgatható hordfüllel és kihajtható akasztóval ellátott. 
Széles körben alkalmazható, szereléshez, túrázáshoz, ház körüli tevékenységekhez, horgászathoz vagy akár vadászathoz is.</t>
        </is>
      </c>
    </row>
    <row r="555">
      <c r="A555" s="3" t="inlineStr">
        <is>
          <t>PLR 24</t>
        </is>
      </c>
      <c r="B555" s="2" t="inlineStr">
        <is>
          <t>Home PLR 24 LED elemlámpa, 100 lm, COB LED</t>
        </is>
      </c>
      <c r="C555" s="1" t="n">
        <v>899.0</v>
      </c>
      <c r="D555" s="7" t="n">
        <f>HYPERLINK("https://www.somogyi.hu/product/home-plr-24-led-elemlampa-100-lm-cob-led-plr-24-16161","https://www.somogyi.hu/product/home-plr-24-led-elemlampa-100-lm-cob-led-plr-24-16161")</f>
        <v>0.0</v>
      </c>
      <c r="E555" s="7" t="n">
        <f>HYPERLINK("https://www.somogyi.hu/data/img/product_main_images/small/16161.jpg","https://www.somogyi.hu/data/img/product_main_images/small/16161.jpg")</f>
        <v>0.0</v>
      </c>
      <c r="F555" s="2" t="inlineStr">
        <is>
          <t>5999084941932</t>
        </is>
      </c>
      <c r="G555" s="4" t="inlineStr">
        <is>
          <t>Szüksége van egy megbízható és erős fényforrásra a mindennapokhoz? A Home PLR 24 LED elemlámpa kiemelkedő választás, amely megvilágítja útját bárhol, bármikor.
Egy 100 lm fényerejű COB LED-del felszerelve garantálja, hogy sosem marad sötétben. A strapabíró műanyag lámpatest biztosítja a hosszú élettartamot, míg a kompakt méret (∅30 x 98 mm) lehetővé teszi, hogy zsebben, táskában könnyedén magával vihesse. Bár az AAA elemek nem részei a csomagnak, a kis energiafogyasztású design biztosítja, hogy hosszú ideig élvezhesse a világítást anélkül, hogy gyakran kellene elemet cserélnie.
Figyelem: A termék kizárólag displayben, 24 db-os kiszerelésben rendelhető, ideális választás kiskereskedőknek vagy nagyobb mennyiségre szoruló vásárlóknak. Ne hagyja, hogy a sötétség meglepetésként érje, bízza magát a Home PLR 24 LED elemlámpára!</t>
        </is>
      </c>
    </row>
    <row r="556">
      <c r="A556" s="6" t="inlineStr">
        <is>
          <t xml:space="preserve">   Világítás / Bútorvilágítás, USB lámpa, tölthető kézilámpa</t>
        </is>
      </c>
      <c r="B556" s="6" t="inlineStr">
        <is>
          <t/>
        </is>
      </c>
      <c r="C556" s="6" t="inlineStr">
        <is>
          <t/>
        </is>
      </c>
      <c r="D556" s="6" t="inlineStr">
        <is>
          <t/>
        </is>
      </c>
      <c r="E556" s="6" t="inlineStr">
        <is>
          <t/>
        </is>
      </c>
      <c r="F556" s="6" t="inlineStr">
        <is>
          <t/>
        </is>
      </c>
      <c r="G556" s="6" t="inlineStr">
        <is>
          <t/>
        </is>
      </c>
    </row>
    <row r="557">
      <c r="A557" s="3" t="inlineStr">
        <is>
          <t>GL 05</t>
        </is>
      </c>
      <c r="B557" s="2" t="inlineStr">
        <is>
          <t>Home GL 05 elemlámpa, 1 x 3 W COB LED, 4200 K, hidegfehér, nyomógombos, öntapadós felület</t>
        </is>
      </c>
      <c r="C557" s="1" t="n">
        <v>1690.0</v>
      </c>
      <c r="D557" s="7" t="n">
        <f>HYPERLINK("https://www.somogyi.hu/product/home-gl-05-elemlampa-1-x-3-w-cob-led-4200-k-hidegfeher-nyomogombos-ontapados-felulet-gl-05-15742","https://www.somogyi.hu/product/home-gl-05-elemlampa-1-x-3-w-cob-led-4200-k-hidegfeher-nyomogombos-ontapados-felulet-gl-05-15742")</f>
        <v>0.0</v>
      </c>
      <c r="E557" s="7" t="n">
        <f>HYPERLINK("https://www.somogyi.hu/data/img/product_main_images/small/15742.jpg","https://www.somogyi.hu/data/img/product_main_images/small/15742.jpg")</f>
        <v>0.0</v>
      </c>
      <c r="F557" s="2" t="inlineStr">
        <is>
          <t>5999084937768</t>
        </is>
      </c>
      <c r="G557" s="4" t="inlineStr">
        <is>
          <t>A GL 05 segítségével stílusos LED-es világítást biztosíthatunk bútorainknak. A termék fényerejét 1 db hidegfehér COB LED biztosítja. A világítás a búrán talákható gomb megnyomásával be- és kikapcsolható. A termék rendkívül könnyen rögzíthető, hiszen a masszív műanyag ház egy öntapadós felülettel rendelkezik, így azt csak az adott bútorhoz kell nyomni. Tápellátása: 3 x 1,5 V (AAA) elem. Mérete: ∅10 x 3 cm. Válassza a minőségi termékeket és rendeljen webáruházunkból!</t>
        </is>
      </c>
    </row>
    <row r="558">
      <c r="A558" s="3" t="inlineStr">
        <is>
          <t>GL 03</t>
        </is>
      </c>
      <c r="B558" s="2" t="inlineStr">
        <is>
          <t>Home GL 03 bútorvilágítás, 3 LED, hidegfehér, nyomógombos, öntapadós felület</t>
        </is>
      </c>
      <c r="C558" s="1" t="n">
        <v>729.0</v>
      </c>
      <c r="D558" s="7" t="n">
        <f>HYPERLINK("https://www.somogyi.hu/product/home-gl-03-butorvilagitas-3-led-hidegfeher-nyomogombos-ontapados-felulet-gl-03-15322","https://www.somogyi.hu/product/home-gl-03-butorvilagitas-3-led-hidegfeher-nyomogombos-ontapados-felulet-gl-03-15322")</f>
        <v>0.0</v>
      </c>
      <c r="E558" s="7" t="n">
        <f>HYPERLINK("https://www.somogyi.hu/data/img/product_main_images/small/15322.jpg","https://www.somogyi.hu/data/img/product_main_images/small/15322.jpg")</f>
        <v>0.0</v>
      </c>
      <c r="F558" s="2" t="inlineStr">
        <is>
          <t>5999084933562</t>
        </is>
      </c>
      <c r="G558" s="4" t="inlineStr">
        <is>
          <t>A GL 03 segítségével stílusos LED-es világítóeszközt tehetünk bútorainkra. A termék fényerejét 3 db hidegfehér LED biztosítja. A világítás a búra megnyomásával be- és kikapcsolható. A termék rendkívül könnyen rögzíthető, hiszen a masszív műanyag ház egy öntapadós felülettel rendelkezik, így azt csak az adott bútorhoz kell nyomni. Tápellátása: 3 x 1,5 V (AAA) elem. Méret: ∅7 x 2,5 cm. Válassza a minőségi termékeket és rendeljen webáruházunkból!</t>
        </is>
      </c>
    </row>
    <row r="559">
      <c r="A559" s="6" t="inlineStr">
        <is>
          <t xml:space="preserve">   Világítás / NEBO</t>
        </is>
      </c>
      <c r="B559" s="6" t="inlineStr">
        <is>
          <t/>
        </is>
      </c>
      <c r="C559" s="6" t="inlineStr">
        <is>
          <t/>
        </is>
      </c>
      <c r="D559" s="6" t="inlineStr">
        <is>
          <t/>
        </is>
      </c>
      <c r="E559" s="6" t="inlineStr">
        <is>
          <t/>
        </is>
      </c>
      <c r="F559" s="6" t="inlineStr">
        <is>
          <t/>
        </is>
      </c>
      <c r="G559" s="6" t="inlineStr">
        <is>
          <t/>
        </is>
      </c>
    </row>
    <row r="560">
      <c r="A560" s="3" t="inlineStr">
        <is>
          <t>NEB-6809-G</t>
        </is>
      </c>
      <c r="B560" s="2" t="inlineStr">
        <is>
          <t>NEBO NEB-6809-G Tino, 300 lm - 250 lm, zseblámpa, övcsipesz, mágneses</t>
        </is>
      </c>
      <c r="C560" s="1" t="n">
        <v>5690.0</v>
      </c>
      <c r="D560" s="7" t="n">
        <f>HYPERLINK("https://www.somogyi.hu/product/nebo-neb-6809-g-tino-300-lm-250-lm-zseblampa-ovcsipesz-magneses-neb-6809-g-17411","https://www.somogyi.hu/product/nebo-neb-6809-g-tino-300-lm-250-lm-zseblampa-ovcsipesz-magneses-neb-6809-g-17411")</f>
        <v>0.0</v>
      </c>
      <c r="E560" s="7" t="n">
        <f>HYPERLINK("https://www.somogyi.hu/data/img/product_main_images/small/17411.jpg","https://www.somogyi.hu/data/img/product_main_images/small/17411.jpg")</f>
        <v>0.0</v>
      </c>
      <c r="F560" s="2" t="inlineStr">
        <is>
          <t>5060063228570</t>
        </is>
      </c>
      <c r="G560" s="4" t="inlineStr">
        <is>
          <t>Szeretne egy elemlámpát, ami nem csak erős, de sokoldalú is? 
A NEBO TINO elemlámpa olyan sokoldalú eszköz, amely szinte minden körülmény között megbízható. 
Víz- és ütésálló tulajdonsága garantálja, hogy nem kell attól tartania: az eszköz cserben hagyja. 
A robusztus műanyag ház még tovább növeli az elemlámpa tartósságát, ami azt jelenti, hogy ez egy valóban hosszú élettartamú termék.
Az állítható fényerő lehetővé teszi, hogy a lámpa alkalmazkodjon az Ön igényeihez. 
Az övcsipesz akasztóval és az erős mágneses talp segítségével a NEBO TINO könnyedén rögzíthető különböző felületeken, így kezei szabadon maradnak. Pontfény üzemmódban 300 lumen, szerelőlámpa üzemmódban pedig 250 lm fényerővel büszkélkedhet. 
Tápellátását 3 x AAA elem biztosítja, melyeket a csomagban megtalál. 
Mindez egy kompakt, 11 x 4,5 x 4 cm-es méretben került kialakításra.
Fedezze fel a NEBO TINO elemlámpa sokoldalúságát és megbízhatóságát! Ne maradjon sötétben, válassza a minőségi világítást!</t>
        </is>
      </c>
    </row>
    <row r="561">
      <c r="A561" s="3" t="inlineStr">
        <is>
          <t>NEB-HLP-0004-G</t>
        </is>
      </c>
      <c r="B561" s="2" t="inlineStr">
        <is>
          <t>NEBO NEB-HLP-0004-G Einstein Cap, sapkalámpa, 50 - 5 lm, IPX5, 3 üzemmód, 500 mAh</t>
        </is>
      </c>
      <c r="C561" s="1" t="n">
        <v>4790.0</v>
      </c>
      <c r="D561" s="7" t="n">
        <f>HYPERLINK("https://www.somogyi.hu/product/nebo-neb-hlp-0004-g-einstein-cap-sapkalampa-50-5-lm-ipx5-3-uzemmod-500-mah-neb-hlp-0004-g-17406","https://www.somogyi.hu/product/nebo-neb-hlp-0004-g-einstein-cap-sapkalampa-50-5-lm-ipx5-3-uzemmod-500-mah-neb-hlp-0004-g-17406")</f>
        <v>0.0</v>
      </c>
      <c r="E561" s="7" t="n">
        <f>HYPERLINK("https://www.somogyi.hu/data/img/product_main_images/small/17406.jpg","https://www.somogyi.hu/data/img/product_main_images/small/17406.jpg")</f>
        <v>0.0</v>
      </c>
      <c r="F561" s="2" t="inlineStr">
        <is>
          <t>5060063228334</t>
        </is>
      </c>
      <c r="G561" s="4" t="inlineStr">
        <is>
          <t>Szeretne egy olyan világítást, amit pillanatok alatt rögzíthet baseballsapkájához vagy munkaruhájához? 
A NEBO EINSTEIN CAP fejlámpa pont erre lett tervezve. 
Ellenálló ABS műanyagból készült, amely az IPX5 besorolású vízállósággal kombinálva kiváló tartósságot és megbízhatóságot garantál a változékony időjárási körülmények között is.
Az érintés nélküli be- és kikapcsolási funkcióval még könnyebbé válik a használat, hiszen a kezei szabadon maradnak az igazán fontos dolgokra. 
Az 500 mAh akkumulátorral felszerelt lámpa három fényerőszinttel rendelkezik: nagy fényerő (50 lm), közepes fényerő (20 lm) és kis fényerő (5 lm), így minden helyzethez megtalálhatja a legmegfelelőbb beállítást. A termék kompakt méretei (6x5x2,8 cm) és a sapkára tűzhető kialakítás révén mindig Önnél lesz, amikor szüksége van rá.
Fedezze fel a NEBO EINSTEIN CAP fejlámpa által kínált kényelmet és funkcionalitást! Tegye meg a lépést most, és élvezze a kiváló megvilágítást, ahol és amikor csak szüksége van rá!</t>
        </is>
      </c>
    </row>
    <row r="562">
      <c r="A562" s="3" t="inlineStr">
        <is>
          <t>NE1041</t>
        </is>
      </c>
      <c r="B562" s="2" t="inlineStr">
        <is>
          <t>NEBO NE1041 Big Larry 3, zseblámpa és szerelőlámpa, 600 lm - 40 lm, övcsipesz, mágneses, Direct-to-Red</t>
        </is>
      </c>
      <c r="C562" s="1" t="n">
        <v>9790.0</v>
      </c>
      <c r="D562" s="7" t="n">
        <f>HYPERLINK("https://www.somogyi.hu/product/nebo-ne1041-big-larry-3-zseblampa-es-szerelolampa-600-lm-40-lm-ovcsipesz-magneses-direct-to-red-ne1041-18390","https://www.somogyi.hu/product/nebo-ne1041-big-larry-3-zseblampa-es-szerelolampa-600-lm-40-lm-ovcsipesz-magneses-direct-to-red-ne1041-18390")</f>
        <v>0.0</v>
      </c>
      <c r="E562" s="7" t="n">
        <f>HYPERLINK("https://www.somogyi.hu/data/img/product_main_images/small/18390.jpg","https://www.somogyi.hu/data/img/product_main_images/small/18390.jpg")</f>
        <v>0.0</v>
      </c>
      <c r="F562" s="2" t="inlineStr">
        <is>
          <t>5060945230301</t>
        </is>
      </c>
      <c r="G562" s="4" t="inlineStr">
        <is>
          <t xml:space="preserve"> • 600 lumen elemes szerelőlámpa 
 • eloxált repülőipari minőségű alumínium; 
 • víz-, és ütésálló (IPX4) 
 • szabályozható fényerő, memóriával 
 • Direct-to-Red funkció 
 • acél övcsipesz 
 • erős mágneses talp 
 • méretek: 19,5 x 2,5 x 2,5 cm 
 • tápellátás:3xAA elem (tartozék) 
 • üzemmód: 
 • zseblámpa (220 lumen) - 8 óra / 82 méter 
 • szerelőlámpa (600 lumen) - 2.5 óra / 33 méter 
 • piros fény (40 lumen) - 20 óra / 7 méter 
 • piros stroboszkóp - 40 óra / 7 méter</t>
        </is>
      </c>
    </row>
    <row r="563">
      <c r="A563" s="3" t="inlineStr">
        <is>
          <t>NEB-FLT-1061-G</t>
        </is>
      </c>
      <c r="B563" s="2" t="inlineStr">
        <is>
          <t>NEBO TORCHY UV</t>
        </is>
      </c>
      <c r="C563" s="1" t="n">
        <v>6890.0</v>
      </c>
      <c r="D563" s="7" t="n">
        <f>HYPERLINK("https://www.somogyi.hu/product/nebo-torchy-uv-neb-flt-1061-g-18388","https://www.somogyi.hu/product/nebo-torchy-uv-neb-flt-1061-g-18388")</f>
        <v>0.0</v>
      </c>
      <c r="E563" s="7" t="n">
        <f>HYPERLINK("https://www.somogyi.hu/data/img/product_main_images/small/18388.jpg","https://www.somogyi.hu/data/img/product_main_images/small/18388.jpg")</f>
        <v>0.0</v>
      </c>
      <c r="F563" s="2" t="inlineStr">
        <is>
          <t>5060945231384</t>
        </is>
      </c>
      <c r="G563" s="4" t="inlineStr">
        <is>
          <t xml:space="preserve"> • UV lámpa 
 • Dual UV-A technológia (2x 395nm + 1x365nm LED)  
 • 2 világítás mód (magas – alacsony) 
 • nyomógombos vezérlés 
 • alumínium kialakítás 
 • vízálló (IPX4) 
 • tápellátás: 3x AAA elem 
 • méret: 9.5 x 2.8 x 2.8 cm 
 • tömeg: 110 g</t>
        </is>
      </c>
    </row>
    <row r="564">
      <c r="A564" s="3" t="inlineStr">
        <is>
          <t>NEB-WLT-1007-G</t>
        </is>
      </c>
      <c r="B564" s="2" t="inlineStr">
        <is>
          <t>NEBO SLIM 1200</t>
        </is>
      </c>
      <c r="C564" s="1" t="n">
        <v>16490.0</v>
      </c>
      <c r="D564" s="7" t="n">
        <f>HYPERLINK("https://www.somogyi.hu/product/nebo-slim-1200-neb-wlt-1007-g-18387","https://www.somogyi.hu/product/nebo-slim-1200-neb-wlt-1007-g-18387")</f>
        <v>0.0</v>
      </c>
      <c r="E564" s="7" t="n">
        <f>HYPERLINK("https://www.somogyi.hu/data/img/product_main_images/small/18387.jpg","https://www.somogyi.hu/data/img/product_main_images/small/18387.jpg")</f>
        <v>0.0</v>
      </c>
      <c r="F564" s="2" t="inlineStr">
        <is>
          <t>5060945230660</t>
        </is>
      </c>
      <c r="G564" s="4" t="inlineStr">
        <is>
          <t xml:space="preserve"> • akkumulátoros 1200 lumen zseblámpa 
 • USB-C töltőaljzat 
 • eloxált repülőipari minőségű alumínium 
 • víz- és ütésálló (IPX7) 
 • power bank 
 • akkumulátor: 1x 803450 Li-Pol, 1500 mAh, 3,7V 
 • mágneses övcsipesz, és talp 
 • szabályozható fényerő, memóriával 
 • Direct-to-Red 
 • Smart Power Control 
 • méret: 13 x 3.5 x 25.5 cm 
 • üzemmód: 
 • turbó (1200 lumen): 30 mp / 52 méter 
 • magas (700 lumen): 1,759 óra / 41 méter  
 • közepes (350 lumen): 3 óra / 29 méter 
 • alacsony (30 lumen): 12 óra / 8 méter 
 • stroboszkóp (700 lumen): 2 óra / 41 méter 
 • piros stroboszkóp (8 lumen): 6 óra / 4 méter 
 • tartozék: USB-C kábel</t>
        </is>
      </c>
    </row>
    <row r="565">
      <c r="A565" s="3" t="inlineStr">
        <is>
          <t>NEB-FLT-1033-G</t>
        </is>
      </c>
      <c r="B565" s="2" t="inlineStr">
        <is>
          <t>NEBO BIG LARRY PRO +</t>
        </is>
      </c>
      <c r="C565" s="1" t="n">
        <v>16490.0</v>
      </c>
      <c r="D565" s="7" t="n">
        <f>HYPERLINK("https://www.somogyi.hu/product/nebo-big-larry-pro-neb-flt-1033-g-18386","https://www.somogyi.hu/product/nebo-big-larry-pro-neb-flt-1033-g-18386")</f>
        <v>0.0</v>
      </c>
      <c r="E565" s="7" t="n">
        <f>HYPERLINK("https://www.somogyi.hu/data/img/product_main_images/small/18386.jpg","https://www.somogyi.hu/data/img/product_main_images/small/18386.jpg")</f>
        <v>0.0</v>
      </c>
      <c r="F565" s="2" t="inlineStr">
        <is>
          <t>5060945230547</t>
        </is>
      </c>
      <c r="G565" s="4" t="inlineStr">
        <is>
          <t xml:space="preserve"> • akkumulátoros 600 lumen zseblámpa és szerelőlámpa 
 • USB-C újratölthető  
 • szabályozható fényerő, memóriával 
 • Direct-to-Red funkció 
 • eloxált repülőipari minőségű alumínium 
 • víz-, és ütésálló (IPX7) 
 • acél övcsipesz 
 • erős mágneses talp 
 • Üzemmód: 
 • zseblámpa (220 lumen): 11 óra / 82 méter 
 • szerelőlámpa (600 lumen): 4.5 óra / 33 méter 
 • piros fény (40 lumen): 8 óra / 7 méter</t>
        </is>
      </c>
    </row>
    <row r="566">
      <c r="A566" s="3" t="inlineStr">
        <is>
          <t>NEB-1003-G</t>
        </is>
      </c>
      <c r="B566" s="2" t="inlineStr">
        <is>
          <t>NEBO SLYDE KING 2K</t>
        </is>
      </c>
      <c r="C566" s="1" t="n">
        <v>21090.0</v>
      </c>
      <c r="D566" s="7" t="n">
        <f>HYPERLINK("https://www.somogyi.hu/product/nebo-slyde-king-2k-neb-1003-g-18385","https://www.somogyi.hu/product/nebo-slyde-king-2k-neb-1003-g-18385")</f>
        <v>0.0</v>
      </c>
      <c r="E566" s="7" t="n">
        <f>HYPERLINK("https://www.somogyi.hu/data/img/product_main_images/small/18385.jpg","https://www.somogyi.hu/data/img/product_main_images/small/18385.jpg")</f>
        <v>0.0</v>
      </c>
      <c r="F566" s="2" t="inlineStr">
        <is>
          <t>5060945230714</t>
        </is>
      </c>
      <c r="G566" s="4" t="inlineStr">
        <is>
          <t xml:space="preserve"> • 2000 lumen akkumulátoros zseblámpa és 500 lumen szerelőlámpa 
 • újratölthető, USB-C 
 • 4x állítható zoom 
 • állítható fényerő 
 • Direct-to-Red 
 • alacsony akkumulátor szint kijelzés 
 • gumírozott markolat 
 • eloxált repülőipari minőségű alumínium 
 • vízálló (IP67), és ütésálló 
 • erős mágneses talp 
 • zseblámpa nagy fényerő (2000 lumen): 2 óra / 409 méter 
 • zseblámpa kis fényerő (200 lumen): 12 óra / 125 méter 
 • szerelőlámpa nagy fényerő (500 lumen): 4 óra / 34 méter 
 • szerelőlámpa kis fényerő (50 lumen): 24 óra / 10 méter 
 • nagy fényerejű piros fény (40 lumen): 6 óra / 9 méter 
 • kis fényerejű piros fény (4 lumen): 60 óra / 3 méter 
 • villogó piros fény (40 lumen): 6 óra / 9 méter 
 • méretek (összetolva): 17,3 x Ø 4,3 cm</t>
        </is>
      </c>
    </row>
    <row r="567">
      <c r="A567" s="3" t="inlineStr">
        <is>
          <t>NEB-HLP-1005-G</t>
        </is>
      </c>
      <c r="B567" s="2" t="inlineStr">
        <is>
          <t>NEBO MYCRO 500</t>
        </is>
      </c>
      <c r="C567" s="1" t="n">
        <v>11690.0</v>
      </c>
      <c r="D567" s="7" t="n">
        <f>HYPERLINK("https://www.somogyi.hu/product/nebo-mycro-500-neb-hlp-1005-g-18384","https://www.somogyi.hu/product/nebo-mycro-500-neb-hlp-1005-g-18384")</f>
        <v>0.0</v>
      </c>
      <c r="E567" s="7" t="n">
        <f>HYPERLINK("https://www.somogyi.hu/data/img/product_main_images/small/18384.jpg","https://www.somogyi.hu/data/img/product_main_images/small/18384.jpg")</f>
        <v>0.0</v>
      </c>
      <c r="F567" s="2" t="inlineStr">
        <is>
          <t>5060063229584</t>
        </is>
      </c>
      <c r="G567" s="4" t="inlineStr">
        <is>
          <t xml:space="preserve"> • anyaga: eloxált, repülőipari minőségű alumínium 
 • üzemmódok: 7 féle 
 • fényerő: spotlámpa: turbó (500 lumen) • magas (200 lumen) • közepes (100 lumen) • alacsony (30 lumen) •/• fényvető: COB magas (200 lumen) • COB alacsony (50 lumen) • COB piros (25 lumen) 
 • működési idő: spotlámpa: turbó (30 másodperces intervallumok) • magas (1 óra) • közepes (2 óra) • alacsony (3 óra) •/• fényvető: COB magas (25 perc) • COB alacsony (1 óra) • COB piros (35 perc) 
 • megvilágított távolság: spotlámpa: turbó (90 méter) • magas (60 méter) • közepes (42 méter) • alacsony (23 méter) •/• fényvető: COB magas (24 méter) • COB alacsony (11 méter) • COB piros (8 méter) 
 • direct-to-red funkció: igen 
 • smart power control: igen 
 • tulajdonság: állítható fejpánt 
 • víz elleni védettség: IPX4 
 • töltésjelző: igen 
 • tápellátás: újratölthető akkumulátor (Li-Po, 200 mAh, 3,7V) 
 • egyéb: levehető sapkalámpa csipesz állítható dőlésszöggel 
 • méret: 2,54 x 3,05 x 7,24 cm 
 • súly: 85 g</t>
        </is>
      </c>
    </row>
    <row r="568">
      <c r="A568" s="3" t="inlineStr">
        <is>
          <t>NEB-HLP-1008-G</t>
        </is>
      </c>
      <c r="B568" s="2" t="inlineStr">
        <is>
          <t>NEBO EINSTEIN 600</t>
        </is>
      </c>
      <c r="C568" s="1" t="n">
        <v>12390.0</v>
      </c>
      <c r="D568" s="7" t="n">
        <f>HYPERLINK("https://www.somogyi.hu/product/nebo-einstein-600-neb-hlp-1008-g-18383","https://www.somogyi.hu/product/nebo-einstein-600-neb-hlp-1008-g-18383")</f>
        <v>0.0</v>
      </c>
      <c r="E568" s="7" t="n">
        <f>HYPERLINK("https://www.somogyi.hu/data/img/product_main_images/small/18383.jpg","https://www.somogyi.hu/data/img/product_main_images/small/18383.jpg")</f>
        <v>0.0</v>
      </c>
      <c r="F568" s="2" t="inlineStr">
        <is>
          <t>5060945231223</t>
        </is>
      </c>
      <c r="G568" s="4" t="inlineStr">
        <is>
          <t xml:space="preserve"> • 600 lumen fejlámpa 
 • eloxált repülőipari minőségű alumínium; 
 • állítható, levehető fejpánt 
 • acél övcsipesz 
 • víz- és ütésálló (IPX6) 
 • erős mágneses talp 
 • akkumulátor: Li-Ion, 700 mAh, 16340, 3.7V 
 • üzemmód: 
 • turbó (600 lumen): 40 másodperc / 90 méter 
 • magas (240 lumen): 1 óra 50 perc / 56 méter 
 • alacsony (60 lumen): 4 óra / 28 méter 
 • stroboszkóp (600 lumen): 2 óra / 90 méter</t>
        </is>
      </c>
    </row>
    <row r="569">
      <c r="A569" s="3" t="inlineStr">
        <is>
          <t>NEB-POC-1003-G</t>
        </is>
      </c>
      <c r="B569" s="2" t="inlineStr">
        <is>
          <t>NEBO NEB-POC-1003-G Columbo keychain, zseblámpa, 100 lm, 1 óra, 56 m, kulcstartó gyűrű, eloxált alumínium, IPX7, 1xAAA elem</t>
        </is>
      </c>
      <c r="C569" s="1" t="n">
        <v>4290.0</v>
      </c>
      <c r="D569" s="7" t="n">
        <f>HYPERLINK("https://www.somogyi.hu/product/nebo-neb-poc-1003-g-columbo-keychain-zseblampa-100-lm-1-ora-56-m-kulcstarto-gyuru-eloxalt-aluminium-ipx7-1xaaa-elem-neb-poc-1003-g-18382","https://www.somogyi.hu/product/nebo-neb-poc-1003-g-columbo-keychain-zseblampa-100-lm-1-ora-56-m-kulcstarto-gyuru-eloxalt-aluminium-ipx7-1xaaa-elem-neb-poc-1003-g-18382")</f>
        <v>0.0</v>
      </c>
      <c r="E569" s="7" t="n">
        <f>HYPERLINK("https://www.somogyi.hu/data/img/product_main_images/small/18382.jpg","https://www.somogyi.hu/data/img/product_main_images/small/18382.jpg")</f>
        <v>0.0</v>
      </c>
      <c r="F569" s="2" t="inlineStr">
        <is>
          <t>5060945230639</t>
        </is>
      </c>
      <c r="G569" s="4" t="inlineStr">
        <is>
          <t xml:space="preserve"> • kulcstartó gyűrű 
 • eloxált repülőipari minőségű alumínium; 
 • víz-, és ütésálló (IPX7) 
 • tápellátás: 1xAAA elem (tartozék) 
 • méret: 8.61 x 1.8 x 1.8 cm 
 • fényerő 100 lumen, 1 óra / 56 méter</t>
        </is>
      </c>
    </row>
    <row r="570">
      <c r="A570" s="3" t="inlineStr">
        <is>
          <t>NEB-FLT-1046-G</t>
        </is>
      </c>
      <c r="B570" s="2" t="inlineStr">
        <is>
          <t>NEBO DAVINCI™ 450L FLEX</t>
        </is>
      </c>
      <c r="C570" s="1" t="n">
        <v>11590.0</v>
      </c>
      <c r="D570" s="7" t="n">
        <f>HYPERLINK("https://www.somogyi.hu/product/nebo-davinci-450l-flex-neb-flt-1046-g-18381","https://www.somogyi.hu/product/nebo-davinci-450l-flex-neb-flt-1046-g-18381")</f>
        <v>0.0</v>
      </c>
      <c r="E570" s="7" t="n">
        <f>HYPERLINK("https://www.somogyi.hu/data/img/product_main_images/small/18381.jpg","https://www.somogyi.hu/data/img/product_main_images/small/18381.jpg")</f>
        <v>0.0</v>
      </c>
      <c r="F570" s="2" t="inlineStr">
        <is>
          <t>5060945230622</t>
        </is>
      </c>
      <c r="G570" s="4" t="inlineStr">
        <is>
          <t xml:space="preserve"> • anyaga: eloxált repülőgép-minőségű alumínium 
 • üzemmódok: akkumulátorral: 4 féle / elemmel: 3 féle 
 • fényerő: akkumulátorral: nagy (250 lumen) • alacsony (80 lumen) • stroboszkóp (250 lumen) • turbó (450 lumen)  / elemmel: nagy (90 lumen) • alacsony (30 lumen) • stroboszkóp (90 lumen) 
 • működési idő: akkumulátorral: nagy: 2,5 óra • alacsony: 5,5 óra • stroboszkóp: 2 óra • turbó: 40 másodperc / elemmel: nagy: 2,5 óra • alacsony: 4,5 óra • stroboszkóp: 4 óra 
 • megvilágított távolság: akkumulátorral: nagy: 160 m • alacsony: 89 m • stroboszkóp: 160 m • turbó: 237 m / elemmel: nagy: 102 m • alacsony: 57 m • stroboszkóp: 102 m 
 • zoom: x6 
 • jellemzők: Flex-Power™ technológia 
 • mágneses talp: igen 
 • víz elleni védettség: IPX4 
 • akkuállapot kijelzés: igen 
 • tápellátás: újratölthető akkumulátor (Li-ion 14500, 600 mAh, 3,7V), vagy 1 db AA elem 
 • egyéb: konvex lencse • két irányban állítható acél övcsipesz 
 • méret: 3 x 3 x 10,85 cm 
 • tartozék: USB töltőkábel</t>
        </is>
      </c>
    </row>
    <row r="571">
      <c r="A571" s="3" t="inlineStr">
        <is>
          <t>NEB-POC-0008-G</t>
        </is>
      </c>
      <c r="B571" s="2" t="inlineStr">
        <is>
          <t>NEBO NEB-POC-0008-G Columbo 250 Flex zseblámpa, 250 lm - 30 lm, Flex Power, 3 üzemmód, 4x zoom, IP67, 750 mAh</t>
        </is>
      </c>
      <c r="C571" s="1" t="n">
        <v>11590.0</v>
      </c>
      <c r="D571" s="7" t="n">
        <f>HYPERLINK("https://www.somogyi.hu/product/nebo-neb-poc-0008-g-columbo-250-flex-zseblampa-250-lm-30-lm-flex-power-3-uzemmod-4x-zoom-ip67-750-mah-neb-poc-0008-g-17399","https://www.somogyi.hu/product/nebo-neb-poc-0008-g-columbo-250-flex-zseblampa-250-lm-30-lm-flex-power-3-uzemmod-4x-zoom-ip67-750-mah-neb-poc-0008-g-17399")</f>
        <v>0.0</v>
      </c>
      <c r="E571" s="7" t="n">
        <f>HYPERLINK("https://www.somogyi.hu/data/img/product_main_images/small/17399.jpg","https://www.somogyi.hu/data/img/product_main_images/small/17399.jpg")</f>
        <v>0.0</v>
      </c>
      <c r="F571" s="2" t="inlineStr">
        <is>
          <t>5060063228327</t>
        </is>
      </c>
      <c r="G571" s="4" t="inlineStr">
        <is>
          <t>Mi lenne, ha egy zseblámpa nem csak világítana, hanem egyedi, kifinomult technológiával is rendelkezne? 
A NEBO COLUMBO 250 FLEX zseblámpa tökéletes választás azok számára, akik a megbízhatóság és az innováció tökéletes kombinációját keresik. 
Az eszköz eloxált, repülőipari minőségű alumínium házat kapott, ami nemcsak az esztétikai megjelenést, de a tartósságot is növeli. 
Az IP67-es vízállósági besorolás és az ütésállóság gondoskodnak arról, hogy még a legkeményebb körülmények között is megbízható legyen.
A 4x-es zoom funkcióval a fénykéve jobban irányítható, így minden helyzethez igazítható. Flex-Power™ technológia lehetővé teszi, hogy az eszköz két féle tápellátási módot is támogat: egy 750 mAh újratölthető akkumulátorral (tartozék), melynek nagy fényerővel (250 lm), kis fényerővel (75 lm) és villogó üzemmóddal (250 lm) is rendelkezik; vagy 2 x 1,5 V AAA elemmel (nem tartozék), ami nagy (100 lm) és kis (30 lm) fényerővel, valamint villogó üzemmóddal (100 lm) is használható. 
Minden ezek mellett, a lámpa mérete mindössze 16,2 x ∅2 cm, így praktikus társ az aktív életmódot folytatóknak.
Fedezze fel a NEBO COLUMBO 250 FLEX zseblámpa kivételes funkcióit, és élvezze a világítástechnika új generációját!</t>
        </is>
      </c>
    </row>
    <row r="572">
      <c r="A572" s="3" t="inlineStr">
        <is>
          <t>NEB-FLT-0022-G</t>
        </is>
      </c>
      <c r="B572" s="2" t="inlineStr">
        <is>
          <t>NEBO NEB-FLT-0022-G Davinci 5000 zseblámpa, 5000 lm - 100 lm, 4 funkció, IP67, 3x zoom, PowerBank funkció, 4500 mAh</t>
        </is>
      </c>
      <c r="C572" s="1" t="n">
        <v>38690.0</v>
      </c>
      <c r="D572" s="7" t="n">
        <f>HYPERLINK("https://www.somogyi.hu/product/nebo-neb-flt-0022-g-davinci-5000-zseblampa-5000-lm-100-lm-4-funkcio-ip67-3x-zoom-powerbank-funkcio-4500-mah-neb-flt-0022-g-17388","https://www.somogyi.hu/product/nebo-neb-flt-0022-g-davinci-5000-zseblampa-5000-lm-100-lm-4-funkcio-ip67-3x-zoom-powerbank-funkcio-4500-mah-neb-flt-0022-g-17388")</f>
        <v>0.0</v>
      </c>
      <c r="E572" s="7" t="n">
        <f>HYPERLINK("https://www.somogyi.hu/data/img/product_main_images/small/17388.jpg","https://www.somogyi.hu/data/img/product_main_images/small/17388.jpg")</f>
        <v>0.0</v>
      </c>
      <c r="F572" s="2" t="inlineStr">
        <is>
          <t>5060063228181</t>
        </is>
      </c>
      <c r="G572" s="4" t="inlineStr">
        <is>
          <t>Vajon milyen lehet egy zseblámpa, ami 5000 lumen fényerővel rendelkezik?
A NEBO DAVINCI 5000 egy valóságos fényerőszörny! 
Ez az eloxált, repülőipari minőségű alumíniumból készült zseblámpa számos hasznos funkcióval büszkélkedhet. Nem csak nagy fényerővel rendelkezik (5000 lm), hanem víz- és porálló is (IP67 minősítéssel), így bármilyen időjárási körülmények között megbízható társa lesz.
Az üzemmódválasztó tárcsa segítségével könnyedén válthat a nagy (5000 lm), közepes (1000 lm) és kis (100 lm) fényerők között, valamint van egy villogó üzemmód is (5000 lm), amely kiválóan alkalmas vészhelyzetekre vagy figyelemfelkeltésre.
A 3x-os zoom lehetővé teszi, hogy a fényt pontosan oda irányítsa, ahol szüksége van rá. 
Emellett a DAVINCI 5000 egy power bank is, így más eszközöket is tölthet vele.
A beépített 4500 mAh akkumulátor hosszú üzemidőt biztosít, és könnyen újratölthető. A kompakt méretű zseblámpa (26 x ∅5 cm) könnyen elfér a zsebében, hátizsákjában, és mindig kéznél lehet, amikor szüksége van rá.
Ne hagyja, hogy a sötétség legyőzze! Szerezze be most a NEBO DAVINCI 5000 zseblámpát, és legyen készen bármilyen kihívásra, kalandra!</t>
        </is>
      </c>
    </row>
    <row r="573">
      <c r="A573" s="3" t="inlineStr">
        <is>
          <t>NEB-FLT-0020-G</t>
        </is>
      </c>
      <c r="B573" s="2" t="inlineStr">
        <is>
          <t>NEBO NEB-FLT-0020-G Davinci 2000 zseblámpa, 2000 lm - 200 lm, 4 funkció, IP67, 4x zoom, PowerBank funkció, 2000 mAh</t>
        </is>
      </c>
      <c r="C573" s="1" t="n">
        <v>26590.0</v>
      </c>
      <c r="D573" s="7" t="n">
        <f>HYPERLINK("https://www.somogyi.hu/product/nebo-neb-flt-0020-g-davinci-2000-zseblampa-2000-lm-200-lm-4-funkcio-ip67-4x-zoom-powerbank-funkcio-2000-mah-neb-flt-0020-g-17390","https://www.somogyi.hu/product/nebo-neb-flt-0020-g-davinci-2000-zseblampa-2000-lm-200-lm-4-funkcio-ip67-4x-zoom-powerbank-funkcio-2000-mah-neb-flt-0020-g-17390")</f>
        <v>0.0</v>
      </c>
      <c r="E573" s="7" t="n">
        <f>HYPERLINK("https://www.somogyi.hu/data/img/product_main_images/small/17390.jpg","https://www.somogyi.hu/data/img/product_main_images/small/17390.jpg")</f>
        <v>0.0</v>
      </c>
      <c r="F573" s="2" t="inlineStr">
        <is>
          <t>5060063228204</t>
        </is>
      </c>
      <c r="G573" s="4" t="inlineStr">
        <is>
          <t>Miért maradna sötétben, amikor a NEBO DAVINCI 2000 zseblámpa 2000 lumen fényerővel áll rendelkezésére?
Ez az erős és megbízható zseblámpa minden helyzetben a segítségére lesz. 
Az eloxált, repülőipari minőségű alumínium ház megvédi a zseblámpát a víz és por behatolásától, így bátran használhatja szabadban is (IP67 minősítéssel rendelkezik).
Az üzemmódválasztó tárcsa segítségével könnyen beállíthatja a fényerőt nagy (2000 lm), közepes (800 lm) és kis (200 lm) fényerő között, és szükség esetén a villogó üzemmódot is aktiválhatja.
Emellett a DAVINCI 2000 zseblámpa beépített power bankként is szolgál, így tölthet vele más eszközöket is. A 4x-es zoom lehetővé teszi, hogy pontosan oda irányítsa a fényt, ahol szüksége van rá.
Ne hagyja, hogy a sötétség vagy a rossz időjárás meglepje! Szerezze be most a NEBO DAVINCI 2000 zseblámpát, és legyen mindig készen a legkülönbözőbb kihívásokra!</t>
        </is>
      </c>
    </row>
    <row r="574">
      <c r="A574" s="3" t="inlineStr">
        <is>
          <t>NEB-FLT-0018-G</t>
        </is>
      </c>
      <c r="B574" s="2" t="inlineStr">
        <is>
          <t>NEBO NEB-FLT-0018-G Davinci 1000 zseblámpa, 1000 lm - 100 lm, 4 funkció, IP67, 6x zoom, PowerBank funkció, 2000 mAh</t>
        </is>
      </c>
      <c r="C574" s="1" t="n">
        <v>17290.0</v>
      </c>
      <c r="D574" s="7" t="n">
        <f>HYPERLINK("https://www.somogyi.hu/product/nebo-neb-flt-0018-g-davinci-1000-zseblampa-1000-lm-100-lm-4-funkcio-ip67-6x-zoom-powerbank-funkcio-2000-mah-neb-flt-0018-g-17391","https://www.somogyi.hu/product/nebo-neb-flt-0018-g-davinci-1000-zseblampa-1000-lm-100-lm-4-funkcio-ip67-6x-zoom-powerbank-funkcio-2000-mah-neb-flt-0018-g-17391")</f>
        <v>0.0</v>
      </c>
      <c r="E574" s="7" t="n">
        <f>HYPERLINK("https://www.somogyi.hu/data/img/product_main_images/small/17391.jpg","https://www.somogyi.hu/data/img/product_main_images/small/17391.jpg")</f>
        <v>0.0</v>
      </c>
      <c r="F574" s="2" t="inlineStr">
        <is>
          <t>5060063228419</t>
        </is>
      </c>
      <c r="G574" s="4" t="inlineStr">
        <is>
          <t>Vajon hogyan világít 1000 lumen fényerő? A NEBO DAVINCI 1000 zseblámpa minden kérdésére választ ad!
Ez a kiváló minőségű zseblámpa ideális partner minden kalandhoz. Az eloxált, repülőipari minőségű alumínium háza véd a víz és por ellen (IP67 minősítésű), így szinte bármilyen időjárási körülmények között használhatja
Az üzemmódválasztó tárcsa segítségével egyszerűen változtathatja a fényerőt nagy (1000 lm), közepes (400 lm) és kis (100 lm) fényerők között, illetve bekapcsolhatja a villogó üzemmódot is. A 6x-os zoom lehetővé teszi, hogy a fényt pontosan oda tudja irányítani,  ahová szükséges. 
A DAVINCI 1000 zseblámpa beépített 2000 mAh akkumulátorral rendelkezik. Kompakt méretének köszönhetően könnyen magával viheti.
Ne hagyja, hogy a sötétség vagy az időjárás megakadályozza valamiben! Szerezze be most a NEBO DAVINCI 1000 zseblámpát, és legyen felkészülve minden helyzetre!</t>
        </is>
      </c>
    </row>
    <row r="575">
      <c r="A575" s="3" t="inlineStr">
        <is>
          <t>NEB-FLT-0017-G</t>
        </is>
      </c>
      <c r="B575" s="2" t="inlineStr">
        <is>
          <t>NEBO NEB-FLT-0017-G Newton 1500 zseblámpa, 1500 lm - 90 lm, 4 funkció, IP67, 3x zoom</t>
        </is>
      </c>
      <c r="C575" s="1" t="n">
        <v>16990.0</v>
      </c>
      <c r="D575" s="7" t="n">
        <f>HYPERLINK("https://www.somogyi.hu/product/nebo-neb-flt-0017-g-newton-1500-zseblampa-1500-lm-90-lm-4-funkcio-ip67-3x-zoom-neb-flt-0017-g-17392","https://www.somogyi.hu/product/nebo-neb-flt-0017-g-newton-1500-zseblampa-1500-lm-90-lm-4-funkcio-ip67-3x-zoom-neb-flt-0017-g-17392")</f>
        <v>0.0</v>
      </c>
      <c r="E575" s="7" t="n">
        <f>HYPERLINK("https://www.somogyi.hu/data/img/product_main_images/small/17392.jpg","https://www.somogyi.hu/data/img/product_main_images/small/17392.jpg")</f>
        <v>0.0</v>
      </c>
      <c r="F575" s="2" t="inlineStr">
        <is>
          <t>5060063228228</t>
        </is>
      </c>
      <c r="G575" s="4" t="inlineStr">
        <is>
          <t>Mit tud a NEBO NEWTON 1500 zseblámpa? Ismerje meg!
Ha fényre van szüksége a sötétben, akkor ez a zseblámpa Önnek való. 
Az 1500 lumen fényerővel és 3x-os zoommal a NEWTON 1500 minden helyzetben megbízható társ lesz.
Az eloxált, repülőipari minőségű alumínium háza ellenáll a víznek és pornak (IP67 minősítésű), így szinte bármilyen körülmények között használhatja. Nagy (1500 lm), közepes (900 lm) és kis fényerő (90 lm) között váltogathat, attól függően, hogy mire van éppen szüksége. A villogó üzemmód pedig segítségére lehet veszélyhelyzetekben.
A NEWTON 1500 zseblámpa 6 darab 1,5 V (AAA) elemmel működik, amelyeket a csomag tartalmaz. A zseblámpa kompakt méretének (összetolva 21 x ∅5 cm) köszönhetően könnyen magával viheti, így mindig kéznél lesz a szükséges fényforrás.
Ne hagyja, hogy a sötétség meglepje! Szerezze be most a NEBO NEWTON 1500 zseblámpát, és legyen felkészülve minden helyzetre!</t>
        </is>
      </c>
    </row>
    <row r="576">
      <c r="A576" s="3" t="inlineStr">
        <is>
          <t>NEB-WLT-0024-G</t>
        </is>
      </c>
      <c r="B576" s="2" t="inlineStr">
        <is>
          <t>NEBO NEB-WLT-0024-G Franklin Twist zseblámpa, 400 lm - 10 lm, 6 funkció, IPX4, 4x zoom, 2000 mAh, mágneses, övcsipesz</t>
        </is>
      </c>
      <c r="C576" s="1" t="n">
        <v>12290.0</v>
      </c>
      <c r="D576" s="7" t="n">
        <f>HYPERLINK("https://www.somogyi.hu/product/nebo-neb-wlt-0024-g-franklin-twist-zseblampa-400-lm-10-lm-6-funkcio-ipx4-4x-zoom-2000-mah-magneses-ovcsipesz-neb-wlt-0024-g-17396","https://www.somogyi.hu/product/nebo-neb-wlt-0024-g-franklin-twist-zseblampa-400-lm-10-lm-6-funkcio-ipx4-4x-zoom-2000-mah-magneses-ovcsipesz-neb-wlt-0024-g-17396")</f>
        <v>0.0</v>
      </c>
      <c r="E576" s="7" t="n">
        <f>HYPERLINK("https://www.somogyi.hu/data/img/product_main_images/small/17396.jpg","https://www.somogyi.hu/data/img/product_main_images/small/17396.jpg")</f>
        <v>0.0</v>
      </c>
      <c r="F576" s="2" t="inlineStr">
        <is>
          <t>5060063228280</t>
        </is>
      </c>
      <c r="G576" s="4" t="inlineStr">
        <is>
          <t>Fáradt már attól, hogy a zseblámpája mindig akkor hagyja cserben, amikor a legnagyobb szüksége van rá? 
Ismerje meg a NEBO FRANKLIN TWIST-et, a zseblámpát, ami egyesíti az innovációt a megbízhatósággal! 
A készülék eloxált, repülőipari minőségű alumíniumból készült, amely nemcsak stílusos, de ultra tartós is. Vízállósági besorolása IPX4, így a természetes elemek sem jelentenek rá veszélyt.
De miért is jó ez Önnek? 
A visszahúzható övcsipesznek köszönhetően, bármikor magánál tarthatja ezt a sokoldalú világítóeszközt. 
Állítsa be a fényerősségét a körülményekhez mérten: választhat a zseblámpa nagy (400 lm) és kis (40 lm) fényereje között. De ez még nem minden! A szerelőlámpa funkció 120°-os látószögben nagy (75 lm) vagy kis (10 lm) fényerősséggel teszi még kényelmesebbé a munkavégzést. Ha pedig teljes körű világításra van szüksége, az 360°-os funkció nagy (200 lm) vagy kis (20 lm) fényerősségű beállítással áll rendelkezésére.
A 4x zoom funkciónak és a mágneses talpnak köszönhetően, a NEBO FRANKLIN TWIST tökéletes társ a kempingezéshez, túrázáshoz vagy akár az otthoni munkálatokhoz is. 
Mindezt egy 2000 mAh akkumulátorral, ami garantálja a hosszú üzemidőt. Mérete összetolva mindössze 17,8 x ∅4,6 cm, így könnyedén elfér a zsebében vagy a hátizsákjában.
Ne maradjon sötétben, válassza a NEBO FRANKLIN TWIST-et, és tegye világossá az életét!</t>
        </is>
      </c>
    </row>
    <row r="577">
      <c r="A577" s="3" t="inlineStr">
        <is>
          <t>NEB-HLP-0008-G</t>
        </is>
      </c>
      <c r="B577" s="2" t="inlineStr">
        <is>
          <t>NEBO NEB-HLP-0008-G Einstein 1500 Flex, 1500 lm - 5 lm, IPX4, 2200 mAh, Flex Power</t>
        </is>
      </c>
      <c r="C577" s="1" t="n">
        <v>24690.0</v>
      </c>
      <c r="D577" s="7" t="n">
        <f>HYPERLINK("https://www.somogyi.hu/product/nebo-neb-hlp-0008-g-einstein-1500-flex-1500-lm-5-lm-ipx4-2200-mah-flex-power-neb-hlp-0008-g-17402","https://www.somogyi.hu/product/nebo-neb-hlp-0008-g-einstein-1500-flex-1500-lm-5-lm-ipx4-2200-mah-flex-power-neb-hlp-0008-g-17402")</f>
        <v>0.0</v>
      </c>
      <c r="E577" s="7" t="n">
        <f>HYPERLINK("https://www.somogyi.hu/data/img/product_main_images/small/17402.jpg","https://www.somogyi.hu/data/img/product_main_images/small/17402.jpg")</f>
        <v>0.0</v>
      </c>
      <c r="F577" s="2" t="inlineStr">
        <is>
          <t>5060063228389</t>
        </is>
      </c>
      <c r="G577" s="4" t="inlineStr">
        <is>
          <t>Mi a legjobb választás, ha egy rendkívül erős, mégis könnyű fejlámpát keres? 
Ismerje meg a NEBO EINSTEIN 1500 FLEX-et, mely 1500 lumen fényerővel nem hagyja cserben! 
Kompakt és könnyű kialakításának köszönhetően ideális társ minden körülmények között, míg ellenálló ABS műanyagból készült háza és vízálló (IPX4) jellemzői az eszköz megbízhatóságát és tartósságát garantálják.
A Flex Power technológia révén a fejlámpa alkalmazkodik az Ön energiaszükségleteihez. 
A turbó üzemmód segítségével akár 1500 lumen fényerő is elérhető, de választhat kisebb fényerők közül is: nagy (750 lm), közepes (250 lm), kis (10 lm) és még piros fény (5 lm) is rendelkezésre áll. 
A beépített 2200 mAh akkumulátor hosszú üzemidőt biztosít. 
Mindezt egy elegáns, fejpánt nélküli méretben kínálja, ami mindössze 12,7 x 5,08 x 7,62 cm.
Fedezze fel a NEBO EINSTEIN 1500 FLEX sokoldalúságát és élvezze kivételes világítást! Ne éljen kompromisszumokkal, válassza a prémium minőséget és az intelligens megoldásokat!</t>
        </is>
      </c>
    </row>
    <row r="578">
      <c r="A578" s="3" t="inlineStr">
        <is>
          <t>NEB-HLP-0006-G</t>
        </is>
      </c>
      <c r="B578" s="2" t="inlineStr">
        <is>
          <t>NEBO NEB-HLP-0006-G Einstein 500, 500 lm - 5 lm, IPX4, turbó üzemmód</t>
        </is>
      </c>
      <c r="C578" s="1" t="n">
        <v>11690.0</v>
      </c>
      <c r="D578" s="7" t="n">
        <f>HYPERLINK("https://www.somogyi.hu/product/nebo-neb-hlp-0006-g-einstein-500-500-lm-5-lm-ipx4-turbo-uzemmod-neb-hlp-0006-g-17404","https://www.somogyi.hu/product/nebo-neb-hlp-0006-g-einstein-500-500-lm-5-lm-ipx4-turbo-uzemmod-neb-hlp-0006-g-17404")</f>
        <v>0.0</v>
      </c>
      <c r="E578" s="7" t="n">
        <f>HYPERLINK("https://www.somogyi.hu/data/img/product_main_images/small/17404.jpg","https://www.somogyi.hu/data/img/product_main_images/small/17404.jpg")</f>
        <v>0.0</v>
      </c>
      <c r="F578" s="2" t="inlineStr">
        <is>
          <t>5060063228358</t>
        </is>
      </c>
      <c r="G578" s="4" t="inlineStr">
        <is>
          <t>Keres egy fejlámpát, amely kicsi, de erős, és a legkeményebb körülmények között is megállja a helyét? 
Az új NEBO EINSTEIN 500 fejlámpa szinte minden feltételnek megfelel. 
Ellenálló ABS és alumínium anyaga, valamint vízálló (IPX4) tulajdonsága okán, ez a fejlámpa nem csak strapabíró, de az időjárás viszontagságait is könnyedén túléli.
Különböző fényerő-beállításokkal rendelkezik, köztük egy turbó üzemmóddal, amely akár 500 lumen fényerőt is képes biztosítani. 
További beállítási lehetőségek: nagy fényerő (150 lm), közepes fényerő (50 lm), kis fényerő (5 lm), valamint egy külön piros fény (5 lm) funkció, amely ideális éjszakai használatra vagy vészhelyzetekben. 
A 3 x 1,5 V AAA elemeket tartozékként mellékeljük, így azonnal használatba veheti új eszközét. 
Mérete fejpánt nélkül 10,2 x 3,9 x 6,1 cm, tehát kompakt méretének köszönhetően bárhová magával viheti.
Ne hagyja ki ezt a rendkívüli ajánlatot! A NEBO EINSTEIN 500 az a fejlámpa, amely minden körülmények között megbízható és hatékony. Rendelje meg most, és tapasztalja meg a világítási lehetőségek új dimenzióját!</t>
        </is>
      </c>
    </row>
    <row r="579">
      <c r="A579" s="3" t="inlineStr">
        <is>
          <t>NEB-LTN-0004-G</t>
        </is>
      </c>
      <c r="B579" s="2" t="inlineStr">
        <is>
          <t>NEBO NEB-LTN-0004-G Galileo 1000 Flex, Lámpás, 1000lm - 100 lm, 15 lm - 2 lm piros fény, 3 + 2 üzemmód, 2600 mAh</t>
        </is>
      </c>
      <c r="C579" s="1" t="n">
        <v>26890.0</v>
      </c>
      <c r="D579" s="7" t="n">
        <f>HYPERLINK("https://www.somogyi.hu/product/nebo-neb-ltn-0004-g-galileo-1000-flex-lampas-1000lm-100-lm-15-lm-2-lm-piros-feny-3-2-uzemmod-2600-mah-neb-ltn-0004-g-17407","https://www.somogyi.hu/product/nebo-neb-ltn-0004-g-galileo-1000-flex-lampas-1000lm-100-lm-15-lm-2-lm-piros-feny-3-2-uzemmod-2600-mah-neb-ltn-0004-g-17407")</f>
        <v>0.0</v>
      </c>
      <c r="E579" s="7" t="n">
        <f>HYPERLINK("https://www.somogyi.hu/data/img/product_main_images/small/17407.jpg","https://www.somogyi.hu/data/img/product_main_images/small/17407.jpg")</f>
        <v>0.0</v>
      </c>
      <c r="F579" s="2" t="inlineStr">
        <is>
          <t>5060063228402</t>
        </is>
      </c>
      <c r="G579" s="4" t="inlineStr">
        <is>
          <t>Ön is gyakran találkozik azzal a kihívással, hogy sötétben vagy rossz fényviszonyok között dolgozik vagy kapcsolódik ki? 
A NEBO GALILEO 1000 FLEX a tökéletes megoldás, hiszen erőteljes 1000 lumenes világítási teljesítménye mellett Power Bank (pl. mobiltelefon töltés) funkciót is kínál. 
A lámpa ellenálló ABS műanyagból készült és a is pornak ellenáll, míg az IPX4 vízállósági besorolása biztosítja, hogy az időjárási körülmények ne befolyásolják a használatát.
A Flex Power technológiával és Direct-to-Red funkcióval rendelkezik, így a felhasználók könnyen váltogathatnak a különböző fényerők és fénytípusok között. 
Az 1000 lumenes nagy fényerő 360 fokban világít, de ha csak egy irányba van szükség fényre, akkor a 120 fokos, 300 lumenes közepes fényerő is kiváló. 
Az energiaellátásról egy 2600 mAh kapacitású, tartozékként szállított akkumulátor gondoskodik, de alternatívája is van 6 db D (góliát) elem. 
Mindezt meglepően kompakt méretben, a lámpa dimenziói csupán 26 x 13,5 x 13,5 cm.
Ne maradjon sötétben, szerezze be az NEBO GALILEO 1000 FLEX lámpát, és élvezze az erőteljes, sokoldalú világítást és az extra Power Bank funkciót egyetlen eszközben!</t>
        </is>
      </c>
    </row>
    <row r="580">
      <c r="A580" s="3" t="inlineStr">
        <is>
          <t>NEB-6737-G</t>
        </is>
      </c>
      <c r="B580" s="2" t="inlineStr">
        <is>
          <t>NEBO NEB-6737-G Big Larry 2, zseblámpa és szerelőlámpa, 500 lm - 40 lm, övcsipesz, mágneses</t>
        </is>
      </c>
      <c r="C580" s="1" t="n">
        <v>6890.0</v>
      </c>
      <c r="D580" s="7" t="n">
        <f>HYPERLINK("https://www.somogyi.hu/product/nebo-neb-6737-g-big-larry-2-zseblampa-es-szerelolampa-500-lm-40-lm-ovcsipesz-magneses-neb-6737-g-17409","https://www.somogyi.hu/product/nebo-neb-6737-g-big-larry-2-zseblampa-es-szerelolampa-500-lm-40-lm-ovcsipesz-magneses-neb-6737-g-17409")</f>
        <v>0.0</v>
      </c>
      <c r="E580" s="7" t="n">
        <f>HYPERLINK("https://www.somogyi.hu/data/img/product_main_images/small/17409.jpg","https://www.somogyi.hu/data/img/product_main_images/small/17409.jpg")</f>
        <v>0.0</v>
      </c>
      <c r="F580" s="2" t="inlineStr">
        <is>
          <t>5060063228563</t>
        </is>
      </c>
      <c r="G580" s="4" t="inlineStr">
        <is>
          <t>Gondolta volna, hogy egy szerelőlámpa lehet több, mint egy egyszerű világítóeszköz? 
A NEBO BIG LARRY 2 szerelőlámpa egy igazi multitasking csoda, mely nem csupán a műhelyben, de az otthonában és a szabadban is nélkülözhetetlen társ lehet. 
Eloxált, repülőipari minőségű alumínium házával a termék kimagasló tartósságot és eleganciát biztosít. 
A víz- és ütésállósága pedig garancia arra, hogy még a legkeményebb környezeti feltételek között is megállja a helyét.
A szabályozható fényerő, az acél övcsipesz és az erős mágneses talp kényelmes és sokoldalú használatot tesznek lehetővé. 
A zseblámpafunkció 200 lm fényerővel kiválóan alkalmas tájékozódáshoz a sötétben, míg a 500 lumen fényerejű szerelőlámpa funkcióval a legapróbb részeket is bevilágíthatja. 
Ha vészhelyzetben találná magát, a 40 lumen piros fény vagy a piros villogás funkció segítségére lehet. 
A termék 3 x AA elemmel működik, amely a csomagban tartozék, a termék méretei 19,7 x 2,5 x 3,2 cm.
Ne hagyja, hogy a rossz fényviszonyok gátolják a munkájában vagy a kikapcsolódásban! Válassza a NEBO BIG LARRY 2 szerelőlámpát, és tapasztalja meg, hogy milyen, amikor a funkcionalitás találkozik az innovációval!</t>
        </is>
      </c>
    </row>
    <row r="581">
      <c r="A581" s="3" t="inlineStr">
        <is>
          <t>NEB-FLT-1007-G</t>
        </is>
      </c>
      <c r="B581" s="2" t="inlineStr">
        <is>
          <t>NEBO NEB-FLT-1007-G, NEBO 12K zseblámpa, 12.000 lm - 300 lm, 5 funkció, 2x zoom, IP67, SPC, 5000 mAh</t>
        </is>
      </c>
      <c r="C581" s="1" t="n">
        <v>49490.0</v>
      </c>
      <c r="D581" s="7" t="n">
        <f>HYPERLINK("https://www.somogyi.hu/product/nebo-neb-flt-1007-g-nebo-12k-zseblampa-12-000-lm-300-lm-5-funkcio-2x-zoom-ip67-spc-5000-mah-neb-flt-1007-g-17412","https://www.somogyi.hu/product/nebo-neb-flt-1007-g-nebo-12k-zseblampa-12-000-lm-300-lm-5-funkcio-2x-zoom-ip67-spc-5000-mah-neb-flt-1007-g-17412")</f>
        <v>0.0</v>
      </c>
      <c r="E581" s="7" t="n">
        <f>HYPERLINK("https://www.somogyi.hu/data/img/product_main_images/small/17412.jpg","https://www.somogyi.hu/data/img/product_main_images/small/17412.jpg")</f>
        <v>0.0</v>
      </c>
      <c r="F581" s="2" t="inlineStr">
        <is>
          <t>5060063228631</t>
        </is>
      </c>
      <c r="G581" s="4" t="inlineStr">
        <is>
          <t>Ez az a zseblámpa, amire mindig is vágyott? Ő a NEBO 12K - Az Ultimate Zseblámpa!
Ha hihetetlen fényerőt és sokoldalúságot keres egyetlen zseblámpában, akkor a NEBO 12K a válasz. Ezzel a zseblámpával mindent megtapasztalhat, amit valaha elképzelt.
A lenyűgöző 12000 lm-es fényerő segítségével az éjszaka nappallá válik. Az eloxált, repülőipari minőségű alumínium test erős és tartós, így bírni fogja a strapát.
Az IP67-es minősítés garantálja, hogy a NEBO 12K bírni fogja a vizet és az ütéseket. 
A 2x zoom lehetővé teszi, hogy közelről vagy távolról világítsa meg a teret. A Smart Power Control (intelligens teljesítmény-szabályozás) és a 5000 mAh, 7,4 V akkumulátor gondoskodik arról, hogy mindig a maximális teljesítményt nyújtsa.
De a NEBO 12K nemcsak zseblámpaként funkcionál, hanem power bankként is használható, így akár mobiltelefonját is töltheti segítségével. Négy fényerőbeállítás közül választhat: turbo (12000 lm), nagy (7000 lm), közepes (3000 lm) és kis (300 lm). A villogó üzemmód pedig rendkívül hasznos lehet vészhelyzetekben.
Ne hagyja ki ezt az esélyt! Tegye kosarába a NEBO 12K-t, és fedezze fel az éjszaka új dimenzióit. Ne csak nézze, tapasztalja is meg, amit az éjszaka hozhat!</t>
        </is>
      </c>
    </row>
    <row r="582">
      <c r="A582" s="3" t="inlineStr">
        <is>
          <t>NE0015</t>
        </is>
      </c>
      <c r="B582" s="2" t="inlineStr">
        <is>
          <t>NEBO NE0015 Omni 2000, fényvető, 2000 lm, PowerBank, 2000 lm - 1100 lm - 20 lm, 4000 mAh, mágneses</t>
        </is>
      </c>
      <c r="C582" s="1" t="n">
        <v>18990.0</v>
      </c>
      <c r="D582" s="7" t="n">
        <f>HYPERLINK("https://www.somogyi.hu/product/nebo-ne0015-omni-2000-fenyveto-2000-lm-powerbank-2000-lm-1100-lm-20-lm-4000-mah-magneses-ne0015-17427","https://www.somogyi.hu/product/nebo-ne0015-omni-2000-fenyveto-2000-lm-powerbank-2000-lm-1100-lm-20-lm-4000-mah-magneses-ne0015-17427")</f>
        <v>0.0</v>
      </c>
      <c r="E582" s="7" t="n">
        <f>HYPERLINK("https://www.somogyi.hu/data/img/product_main_images/small/17427.jpg","https://www.somogyi.hu/data/img/product_main_images/small/17427.jpg")</f>
        <v>0.0</v>
      </c>
      <c r="F582" s="2" t="inlineStr">
        <is>
          <t>5060063227801</t>
        </is>
      </c>
      <c r="G582" s="4" t="inlineStr">
        <is>
          <t>Szüksége van egy valóban sokoldalú, hatalmas teljesítményű lámpára? A NEBO OMNI 2000 nem csupán megvilágít, de energiával is ellát! 
A lámpa csúszásgátló gumibevonattal rendelkezik, amely biztonságos és kényelmes fogást tesz lehetővé, miközben a forgatható mágneses fogantyúknak köszönhetően rendkívül sokoldalúan használható.
Az OMNI 2000 innovációjának csúcsát a forgatható COB panelek képezik, amelyek széles fényerő-skálán mozognak: mindkét COB panel bekapcsolva akár 2000 lumen fényerőt is produkálhat, de választhatóan egy panel is üzemeltethető 1100 lumen vagy 150 lumen fényerővel. 
A piros COB funkció és a villogó piros fény még több alkalmazási lehetőséget biztosít. 
A 4000 mAh akkumulátor nem csak hosszantartó működést, hanem power bank funkciót is garantál, így sosem marad energia nélkül.
Ha egy megbízható, multifunkciós lámpára vágyik, az NEBO OMNI 2000 a tökéletes választás. 
Ne hagyja ki ezt a technológiai csodát, amely minden helyzetben az Ön szolgálatában áll!</t>
        </is>
      </c>
    </row>
    <row r="583">
      <c r="A583" s="3" t="inlineStr">
        <is>
          <t>NEB-FLT-1015-G</t>
        </is>
      </c>
      <c r="B583" s="2" t="inlineStr">
        <is>
          <t>NEBO NEB-FLT-1015-G Davinci 18000 zseblámpa, 18.000 lm - 800 lm, 5 funkció, 2x zoom, IP67, SPC, STC, 5000 mAh</t>
        </is>
      </c>
      <c r="C583" s="1" t="n">
        <v>73090.0</v>
      </c>
      <c r="D583" s="7" t="n">
        <f>HYPERLINK("https://www.somogyi.hu/product/nebo-neb-flt-1015-g-davinci-18000-zseblampa-18-000-lm-800-lm-5-funkcio-2x-zoom-ip67-spc-stc-5000-mah-neb-flt-1015-g-18318","https://www.somogyi.hu/product/nebo-neb-flt-1015-g-davinci-18000-zseblampa-18-000-lm-800-lm-5-funkcio-2x-zoom-ip67-spc-stc-5000-mah-neb-flt-1015-g-18318")</f>
        <v>0.0</v>
      </c>
      <c r="E583" s="7" t="n">
        <f>HYPERLINK("https://www.somogyi.hu/data/img/product_main_images/small/18318.jpg","https://www.somogyi.hu/data/img/product_main_images/small/18318.jpg")</f>
        <v>0.0</v>
      </c>
      <c r="F583" s="2" t="inlineStr">
        <is>
          <t>5060945230592</t>
        </is>
      </c>
      <c r="G583" s="4" t="inlineStr">
        <is>
          <t>Melyik zseblámpa képes az éjszakát nappallá varázsolni? A NEBO DAVINCI 18000 választ ad mindenre!
Ez a zseblámpa teljesítményt, minőséget és sokoldalúságot kínál. A maximum 18000 lumen fényerővel és a 2x-es zoom lehetőségével ez az elemlámpa bármilyen sötét területet könnyedén bevilágít.
Az eloxált, repülőipari minőségű alumínium ház nemcsak erős és tartós, de elegáns megjelenést is kölcsönöz a lámpának. Az IP67-es vízállóság és az ütésállóság gond nélkül megbirkózik az extrém körülményekkel is.
A Smart Power Control (intelligens teljesítmény-szabályozás) és a Smart Temperature Control (intelligens hőmérséklet-szabályozás) technológiák intelligensen kezelik az energiát és a hőmérsékletet, hogy mindig optimális teljesítményen használhassa a terméket. 
A zseblámpa négy fényerőbeállítással rendelkezik: turbo (18000 lm), nagy (10000 lm), közepes (5000 lm) és kis (800 lm), valamint villogó üzemmóddal (18000 lm).
A beépített 5000 mAh, 7,4 V akkumulátor hosszú üzemidőt biztosít, így nem kell aggódnia az állandó újratöltés miatt. A DAVINCI 18000 kompakt mérete lehetővé teszi, hogy mindenhová magával vihesse.
Ne hagyja ki ezt a lehetőséget, és tegye kosarába még ma, hogy megtapasztalhassa a DAVINCI 18000 erejét és fényét! 
Legyen felkészülve bármilyen helyzetre, legyen szó akár sátrazásról, vadászatról vagy vészhelyzetekről.</t>
        </is>
      </c>
    </row>
    <row r="584">
      <c r="A584" s="3" t="inlineStr">
        <is>
          <t>NEB-LTN-1003-G</t>
        </is>
      </c>
      <c r="B584" s="2" t="inlineStr">
        <is>
          <t>NEBO NEB-LTN-1003-G Galileo AIR 1000, PowerBank és lámpás, IPX4, 2500 mAh, 1000 lm - 100 lm, 4 üzemmód, 40 lm piros fény</t>
        </is>
      </c>
      <c r="C584" s="1" t="n">
        <v>17390.0</v>
      </c>
      <c r="D584" s="7" t="n">
        <f>HYPERLINK("https://www.somogyi.hu/product/nebo-neb-ltn-1003-g-galileo-air-1000-powerbank-es-lampas-ipx4-2500-mah-1000-lm-100-lm-4-uzemmod-40-lm-piros-feny-neb-ltn-1003-g-17820","https://www.somogyi.hu/product/nebo-neb-ltn-1003-g-galileo-air-1000-powerbank-es-lampas-ipx4-2500-mah-1000-lm-100-lm-4-uzemmod-40-lm-piros-feny-neb-ltn-1003-g-17820")</f>
        <v>0.0</v>
      </c>
      <c r="E584" s="7" t="n">
        <f>HYPERLINK("https://www.somogyi.hu/data/img/product_main_images/small/17820.jpg","https://www.somogyi.hu/data/img/product_main_images/small/17820.jpg")</f>
        <v>0.0</v>
      </c>
      <c r="F584" s="2" t="inlineStr">
        <is>
          <t>5060063229317</t>
        </is>
      </c>
      <c r="G584" s="4" t="inlineStr">
        <is>
          <t>Szeretne egy igazi ""mindenes"" lámpát, ami még tölteni is tud? Ismerje meg a NEBO GALILEO AIR 1000-at, a sokoldalú fényforrást és energiaközpontot egyben! 
A termék különleges, flexibilis kialakításának köszönhetően a NEBO GALILEO AIR 1000 nem csak állni, de fel is akasztható. 
A könnyű tárolás érdekében összecsukható. 
Smart Power Control (intelligens teljesítmény-szabályozás) funkcióval rendelkezik, ami optimális energiafelhasználást tesz lehetővé, legyen szó akár a fényerőről, akár az akkumulátor töltöttségéről.
A 2500 mAh akkumulátorral meghajtott lámpa nem csak megvilágít: powerbank funkciójával készülékeit is feltöltheti. 
A fényerő skálája széles, kezdve a 1000 lumen nagy fényerőtől a 100 lumen kis fényerőig, de még villogó üzemmód és piros fény is rendelkezésre áll. 
Az IPX4 vízállóság miatt semmilyen körülmény között nem kell lemondania a megbízható fényforrásról.
Ne várjon tovább, tegye sokoldalúbbá a kempingezést, túrázást vagy akár a műhelymunkát az NEBO GALILEO AIR 1000 készülékkel!</t>
        </is>
      </c>
    </row>
    <row r="585">
      <c r="A585" s="3" t="inlineStr">
        <is>
          <t>NEB-SPT-1000-G</t>
        </is>
      </c>
      <c r="B585" s="2" t="inlineStr">
        <is>
          <t>NEBO NEB-SPT-1000-G Luxtreme SL75 keresőlámpa, 780 lm, 1200 m, 3 funkció, IP67, 9000 mAh, 1/4" tripodra szerelhető, övcsipesz, mágneses</t>
        </is>
      </c>
      <c r="C585" s="1" t="n">
        <v>46490.0</v>
      </c>
      <c r="D585" s="7" t="n">
        <f>HYPERLINK("https://www.somogyi.hu/product/nebo-neb-spt-1000-g-luxtreme-sl75-keresolampa-780-lm-1200-m-3-funkcio-ip67-9000-mah-1-4-tripodra-szerelheto-ovcsipesz-magneses-neb-spt-1000-g-17822","https://www.somogyi.hu/product/nebo-neb-spt-1000-g-luxtreme-sl75-keresolampa-780-lm-1200-m-3-funkcio-ip67-9000-mah-1-4-tripodra-szerelheto-ovcsipesz-magneses-neb-spt-1000-g-17822")</f>
        <v>0.0</v>
      </c>
      <c r="E585" s="7" t="n">
        <f>HYPERLINK("https://www.somogyi.hu/data/img/product_main_images/small/17822.jpg","https://www.somogyi.hu/data/img/product_main_images/small/17822.jpg")</f>
        <v>0.0</v>
      </c>
      <c r="F585" s="2" t="inlineStr">
        <is>
          <t>5060063229355</t>
        </is>
      </c>
      <c r="G585" s="4" t="inlineStr">
        <is>
          <t>Tudta, hogy létezik olyan elemlámpa, ami szinte minden kihívást könnyedén leküzd? A NEBO LUXTREME SL75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(780 lm), közepes (400 lm), és alacsony (100 lm) fényerő beállítások pedig lehetővé teszik, hogy az adott helyzetnek megfelelően használja. 
A NEBO LUXTREME SL75 mindig és mindenhol Ön mellett áll. Ne hagyja ki ezt a lehetőséget, és tegye kosarába még ma, hogy felfedezhesse, mire képes ez a kivételes elemlámpa!</t>
        </is>
      </c>
    </row>
    <row r="586">
      <c r="A586" s="3" t="inlineStr">
        <is>
          <t>NEB-SPT-1003-G</t>
        </is>
      </c>
      <c r="B586" s="2" t="inlineStr">
        <is>
          <t>NEBO NEB-SPT-1003-G Luxtreme SL50 keresőlámpa, 450 lm, 900 m, 3 funkció, IP67, 9000 mAh, 1/4" tripodra szerelhető, övcsipesz, mágneses</t>
        </is>
      </c>
      <c r="C586" s="1" t="n">
        <v>36490.0</v>
      </c>
      <c r="D586" s="7" t="n">
        <f>HYPERLINK("https://www.somogyi.hu/product/nebo-neb-spt-1003-g-luxtreme-sl50-keresolampa-450-lm-900-m-3-funkcio-ip67-9000-mah-1-4-tripodra-szerelheto-ovcsipesz-magneses-neb-spt-1003-g-17823","https://www.somogyi.hu/product/nebo-neb-spt-1003-g-luxtreme-sl50-keresolampa-450-lm-900-m-3-funkcio-ip67-9000-mah-1-4-tripodra-szerelheto-ovcsipesz-magneses-neb-spt-1003-g-17823")</f>
        <v>0.0</v>
      </c>
      <c r="E586" s="7" t="n">
        <f>HYPERLINK("https://www.somogyi.hu/data/img/product_main_images/small/17823.jpg","https://www.somogyi.hu/data/img/product_main_images/small/17823.jpg")</f>
        <v>0.0</v>
      </c>
      <c r="F586" s="2" t="inlineStr">
        <is>
          <t>5060063229294</t>
        </is>
      </c>
      <c r="G586" s="4" t="inlineStr">
        <is>
          <t>Tudta, hogy létezik olyan elemlámpa, ami szinte minden kihívást könnyedén leküzd? A NEBO LUXTREME SL50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(450 lm), közepes (250 lm), és alacsony (50 lm) fényerő beállítások pedig lehetővé teszik, hogy az adott helyzetnek megfelelően használja. 
A NEBO LUXTREME SL50 mindig és mindenhol Ön mellett áll. Ne hagyja ki ezt a lehetőséget, és tegye kosarába még ma, hogy felfedezhesse, mire képes ez a kivételes elemlámpa!</t>
        </is>
      </c>
    </row>
    <row r="587">
      <c r="A587" s="3" t="inlineStr">
        <is>
          <t>NE6526</t>
        </is>
      </c>
      <c r="B587" s="2" t="inlineStr">
        <is>
          <t>NEBO ARMOR 3 szerelő- és zseblámpa, NE6526, 360 lm - 40 lm, IPX7, Direct-to-Red funkció, acélcsipesz, mágneses talp, 3 üzemmód</t>
        </is>
      </c>
      <c r="C587" s="1" t="n">
        <v>6490.0</v>
      </c>
      <c r="D587" s="7" t="n">
        <f>HYPERLINK("https://www.somogyi.hu/product/nebo-armor-3-szerelo-es-zseblampa-ne6526-360-lm-40-lm-ipx7-direct-to-red-funkcio-acelcsipesz-magneses-talp-3-uzemmod-ne6526-18125","https://www.somogyi.hu/product/nebo-armor-3-szerelo-es-zseblampa-ne6526-360-lm-40-lm-ipx7-direct-to-red-funkcio-acelcsipesz-magneses-talp-3-uzemmod-ne6526-18125")</f>
        <v>0.0</v>
      </c>
      <c r="E587" s="7" t="n">
        <f>HYPERLINK("https://www.somogyi.hu/data/img/product_main_images/small/18125.jpg","https://www.somogyi.hu/data/img/product_main_images/small/18125.jpg")</f>
        <v>0.0</v>
      </c>
      <c r="F587" s="2" t="inlineStr">
        <is>
          <t>5060063226712</t>
        </is>
      </c>
      <c r="G587" s="4" t="inlineStr">
        <is>
          <t>Fedezze fel a NEBO ARMOR 3 szerelő- és zseblámpa rendkívüli sokoldalúságát, amely minden kihívásnak megfelel! Ez a robusztus, csúszásmentes gumibevonattal ellátott lámpa nem csak a szélsőséges körülményeket állja ki, hanem az IPX7-es vízállósági és ütésállósági minősítéssel a legkeményebb munkához is ideális társ.
Az állítható fényerő és a Direct-to-Red funkció biztosítja, hogy mindig a megfelelő fényviszonyok mellett dolgozhasson, legyen szó akár erős fényről a munkaterület megvilágításához, akár diszkrét piros fényről, amely kíméli a szemeket éjszaka. A praktikus acélcsipesz és az erőteljes, billenthető mágneses talp lehetővé teszi, hogy a lámpát kényelmesen rögzítse bármilyen fémfelületre, így mindkét kezével szabadon dolgozhat.
A tápellátását 3 db AAA elem biztosítja, amelyeket a csomag tartalmaz, így az ARMOR 3 azonnal használatra kész. Három üzemmódja - a COB szerelőlámpa 360 lumennel 2,5 óráig, a szpotlámpa 160 lumennel 5 óráig, és a piros COB szerelőlámpa 40 lumennel 1,5 óráig - minden igényt kielégít.
Kompakt méretével és csupán 195 gramm súlyával a NEBO ARMOR 3 tökéletes választás mindazok számára, akik egy megbízható, hordozható világítási megoldást keresnek, legyen szó otthoni barkácsolásról, kempingezésről vagy bármilyen szabadtéri tevékenységről. Ne hagyja, hogy a sötétség megállítsa - válassza a NEBO ARMOR 3-at!</t>
        </is>
      </c>
    </row>
    <row r="588">
      <c r="A588" s="3" t="inlineStr">
        <is>
          <t>NEB-FLT-1016-G</t>
        </is>
      </c>
      <c r="B588" s="2" t="inlineStr">
        <is>
          <t>NEBO DAVINCI™ 8000 elemlámpa, NEB-FLT-1016-G, 8000 lm, akkumulátoros, 4x zoom, IP67, power bank, 5000 mAh, 5 funkció, USB-A - USB-C töltőkábel</t>
        </is>
      </c>
      <c r="C588" s="1" t="n">
        <v>47490.0</v>
      </c>
      <c r="D588" s="7" t="n">
        <f>HYPERLINK("https://www.somogyi.hu/product/nebo-davinci-8000-elemlampa-neb-flt-1016-g-8000-lm-akkumulatoros-4x-zoom-ip67-power-bank-5000-mah-5-funkcio-usb-a-usb-c-toltokabel-neb-flt-1016-g-18380","https://www.somogyi.hu/product/nebo-davinci-8000-elemlampa-neb-flt-1016-g-8000-lm-akkumulatoros-4x-zoom-ip67-power-bank-5000-mah-5-funkcio-usb-a-usb-c-toltokabel-neb-flt-1016-g-18380")</f>
        <v>0.0</v>
      </c>
      <c r="E588" s="7" t="n">
        <f>HYPERLINK("https://www.somogyi.hu/data/img/product_main_images/small/18380.jpg","https://www.somogyi.hu/data/img/product_main_images/small/18380.jpg")</f>
        <v>0.0</v>
      </c>
      <c r="F588" s="2" t="inlineStr">
        <is>
          <t>5060945230615</t>
        </is>
      </c>
      <c r="G588" s="4" t="inlineStr">
        <is>
          <t>Fedezze fel a sötétségben rejlő titkokat a NEBO DAVINCI 8000 elemlámpával, ami képes 8000 lumen fényerővel átszelni a sötétséget. Ez az akkumulátoros zseblámpa, amely eloxált repülőgépipari minőségű alumíniumból készült, tökéletes társ a legkeményebb körülmények között is, hiszen víz- és porállósága garantált (IP67 minősítés).
Az innovatív mágneses üzemmód választó tárcsa lehetővé teszi a felhasználó számára, hogy könnyedén válthasson a különböző fényerősségek és funkciók között. A 4x zoom segítségével fókuszálható a fénysugár, a beépített power bank funkciónak köszönhetően pedig nem csak világít, hanem mobil eszközei feltöltésére is használható, így sosem marad energia nélkül.
A NEBO DAVINCI 8000 nem csupán egy elemlámpa; a Smart Power Control™ (SPC) és Smart Temperature Control™ (STC) rendszerekkel felszerelve intelligensen szabályozza a teljesítményt és a hőmérsékletet, biztosítva a lámpa optimális működését és hosszú élettartamát. A Direct-to-Low funkcióval pedig azonnal az alacsony fényerősségre válthat, ha szükséges.
Legyen szó egy rövid 30 másodperces turbó módról 8000 lumennel, vagy akár 45 órás folyamatos világításról alacsonyabb üzemmódban, a DAVINCI 8000 minden igényt kielégít. A csomag tartalmaz egy USB-A - USB-C töltőkábelt és egy levehető csuklópántot is a kényelmes és biztonságos használat érdekében.
Indítsa el legújabb kalandját a NEBO DAVINCI 8000 elemlámpával, és élvezze a fény által nyújtott biztonságot és kényelmet, bármerre is viszi az út.</t>
        </is>
      </c>
    </row>
    <row r="589">
      <c r="A589" s="3" t="inlineStr">
        <is>
          <t>NEB-WLT-1008-G</t>
        </is>
      </c>
      <c r="B589" s="2" t="inlineStr">
        <is>
          <t>NEBO OMNI 3K</t>
        </is>
      </c>
      <c r="C589" s="1" t="n">
        <v>25590.0</v>
      </c>
      <c r="D589" s="7" t="n">
        <f>HYPERLINK("https://www.somogyi.hu/product/nebo-omni-3k-neb-wlt-1008-g-18389","https://www.somogyi.hu/product/nebo-omni-3k-neb-wlt-1008-g-18389")</f>
        <v>0.0</v>
      </c>
      <c r="E589" s="7" t="n">
        <f>HYPERLINK("https://www.somogyi.hu/data/img/product_main_images/small/18389.jpg","https://www.somogyi.hu/data/img/product_main_images/small/18389.jpg")</f>
        <v>0.0</v>
      </c>
      <c r="F589" s="2" t="inlineStr">
        <is>
          <t>5060063229744</t>
        </is>
      </c>
      <c r="G589" s="4" t="inlineStr">
        <is>
          <t xml:space="preserve"> • 3,000 lumen minden irányba állítható USB-C újratölthető szerelőlámpa 
 • USB-C újratölthető 
 • power bank 
 • akkumulátor: 1x21700 Li-ion, 4000 mAh, 7,4V 
 • forgatható mágneses fogantyú 
 • forgatható COB panelek 
 • víz-, és ütésálló (IPX4) 
 • csúszásgátló gumibevonat 
 • akkumulátor töltöttség jelzés 
 • hátsó Be/Ki gomb, és fényerő állító gombok 
 • üzemmód: 
 • mindkét COB (3000 lumen) - 1 óra / 70 méter 
 • mindkét COB (300 lumen) - 4 óra / 22 méter 
 • egy COB (1500 lumen) - 2 óra / 50 méter 
 • egy COB (150 lumen) - 8 óra / 18 méter 
 • piros COB (7 lumen) - 11 óra / 8 méter 
 • piros COB stroboszkóp (20 lumen) - 20 óra / 8 méter 
 • tartozék: USB-C töltőkábel 
 • méret (összehajtva): 12.7 x 4.98 x 13.66 cm</t>
        </is>
      </c>
    </row>
    <row r="590">
      <c r="A590" s="3" t="inlineStr">
        <is>
          <t>NB6373</t>
        </is>
      </c>
      <c r="B590" s="2" t="inlineStr">
        <is>
          <t>NEBO LIL LARRY</t>
        </is>
      </c>
      <c r="C590" s="1" t="n">
        <v>3390.0</v>
      </c>
      <c r="D590" s="7" t="n">
        <f>HYPERLINK("https://www.somogyi.hu/product/nebo-lil-larry-nb6373-18116","https://www.somogyi.hu/product/nebo-lil-larry-nb6373-18116")</f>
        <v>0.0</v>
      </c>
      <c r="E590" s="7" t="n">
        <f>HYPERLINK("https://www.somogyi.hu/data/img/product_main_images/small/18116.jpg","https://www.somogyi.hu/data/img/product_main_images/small/18116.jpg")</f>
        <v>0.0</v>
      </c>
      <c r="F590" s="2" t="inlineStr">
        <is>
          <t>5060063224121</t>
        </is>
      </c>
      <c r="G590" s="4" t="inlineStr">
        <is>
          <t>A szerelőlámpa markolata ergonómikus kialakítású, csúszásgátlós, használata kényelmes és egyszerű.
Csipesszel könnyedén akaszthatjuk zsebbe, övre. Méreteinek köszönhetően szűk helyeken is kiválóan alkalmazható, erős mágneses talppal rendelkezik.
Nagy teljesítményével kétféle módon világíthatunk.
Az elemek 3 db AAA tartozékként szolgálnak.
Vásároljon minőségi és megbízható termékeket webáruházunkból!</t>
        </is>
      </c>
    </row>
    <row r="591">
      <c r="A591" s="3" t="inlineStr">
        <is>
          <t>NEB-FLT-1009-G</t>
        </is>
      </c>
      <c r="B591" s="2" t="inlineStr">
        <is>
          <t>NEBO NEB-FLT-1009-G Master Series FL3000 zseblámpa, 3000 lm - 100 lm, 5 funkció, IP67, 3x zoom, mágneses</t>
        </is>
      </c>
      <c r="C591" s="1" t="n">
        <v>32990.0</v>
      </c>
      <c r="D591" s="7" t="n">
        <f>HYPERLINK("https://www.somogyi.hu/product/nebo-neb-flt-1009-g-master-series-fl3000-zseblampa-3000-lm-100-lm-5-funkcio-ip67-3x-zoom-magneses-neb-flt-1009-g-18043","https://www.somogyi.hu/product/nebo-neb-flt-1009-g-master-series-fl3000-zseblampa-3000-lm-100-lm-5-funkcio-ip67-3x-zoom-magneses-neb-flt-1009-g-18043")</f>
        <v>0.0</v>
      </c>
      <c r="E591" s="7" t="n">
        <f>HYPERLINK("https://www.somogyi.hu/data/img/product_main_images/small/18043.jpg","https://www.somogyi.hu/data/img/product_main_images/small/18043.jpg")</f>
        <v>0.0</v>
      </c>
      <c r="F591" s="2" t="inlineStr">
        <is>
          <t>5060945230059</t>
        </is>
      </c>
      <c r="G591" s="4" t="inlineStr">
        <is>
          <t>Feltette már magának a kérdést, hogy milyen egy tökéletes zseblámpa? A válasz a NEBO MASTER SERIES FL3000!
Ez a masszív és megbízható 3000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FL3000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3000 lumenes turbó fényről vagy a hosszabb üzemidőt biztosító alacsony fényről. 
Fedezze fel a világítás új szintjét a NEBO FL3000 zseblámpával! Tegye kosarába most, és ne hagyja, hogy a sötétség legyőzze!</t>
        </is>
      </c>
    </row>
    <row r="592">
      <c r="A592" s="3" t="inlineStr">
        <is>
          <t>NEB-FLT-1017-G</t>
        </is>
      </c>
      <c r="B592" s="2" t="inlineStr">
        <is>
          <t>NEBO NEB-FLT-1017-G Master Series FL1500 zseblámpa, 1500 lm - 50 lm, 5 funkció, IP67, 3x zoom, mágneses</t>
        </is>
      </c>
      <c r="C592" s="1" t="n">
        <v>29990.0</v>
      </c>
      <c r="D592" s="7" t="n">
        <f>HYPERLINK("https://www.somogyi.hu/product/nebo-neb-flt-1017-g-master-series-fl1500-zseblampa-1500-lm-50-lm-5-funkcio-ip67-3x-zoom-magneses-neb-flt-1017-g-18042","https://www.somogyi.hu/product/nebo-neb-flt-1017-g-master-series-fl1500-zseblampa-1500-lm-50-lm-5-funkcio-ip67-3x-zoom-magneses-neb-flt-1017-g-18042")</f>
        <v>0.0</v>
      </c>
      <c r="E592" s="7" t="n">
        <f>HYPERLINK("https://www.somogyi.hu/data/img/product_main_images/small/18042.jpg","https://www.somogyi.hu/data/img/product_main_images/small/18042.jpg")</f>
        <v>0.0</v>
      </c>
      <c r="F592" s="2" t="inlineStr">
        <is>
          <t>5060945230042</t>
        </is>
      </c>
      <c r="G592" s="4" t="inlineStr">
        <is>
          <t>Feltette már magának a kérdést, hogy milyen egy tökéletes elemlámpa? A válasz a NEBO MASTER SERIES FL1500!
Ez a masszív és megbízható 1500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FL1500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1500 lumenes turbó fényről vagy a hosszabb üzemidőt biztosító alacsony fényről. 
Fedezze fel a világítás új szintjét a NEBO FL1500 zseblámpával! Tegye kosarába most, és ne hagyja, hogy a sötétség legyőzze!</t>
        </is>
      </c>
    </row>
    <row r="593">
      <c r="A593" s="3" t="inlineStr">
        <is>
          <t>NEB-FLT-1018-G</t>
        </is>
      </c>
      <c r="B593" s="2" t="inlineStr">
        <is>
          <t>NEBO NEB-FLT-1018-G Master Series FL750 zseblámpa, 750 lm - 45 lm, 121 m, 5 funkció, IP67, mágneses, zsebcsipesz</t>
        </is>
      </c>
      <c r="C593" s="1" t="n">
        <v>23090.0</v>
      </c>
      <c r="D593" s="7" t="n">
        <f>HYPERLINK("https://www.somogyi.hu/product/nebo-neb-flt-1018-g-master-series-fl750-zseblampa-750-lm-45-lm-121-m-5-funkcio-ip67-magneses-zsebcsipesz-neb-flt-1018-g-18041","https://www.somogyi.hu/product/nebo-neb-flt-1018-g-master-series-fl750-zseblampa-750-lm-45-lm-121-m-5-funkcio-ip67-magneses-zsebcsipesz-neb-flt-1018-g-18041")</f>
        <v>0.0</v>
      </c>
      <c r="E593" s="7" t="n">
        <f>HYPERLINK("https://www.somogyi.hu/data/img/product_main_images/small/18041.jpg","https://www.somogyi.hu/data/img/product_main_images/small/18041.jpg")</f>
        <v>0.0</v>
      </c>
      <c r="F593" s="2" t="inlineStr">
        <is>
          <t>5060945230035</t>
        </is>
      </c>
      <c r="G593" s="4" t="inlineStr">
        <is>
          <t>Miért hagyja, hogy a sötétség kizökkentse a megszokott napi rutinból? Ismerje meg a NEBO MASTER SERIES FL750 zseblámpát!
Ez a masszív és megbízható 750 lumenes zseblámpa mindent tud, amire szüksége van.
Újratölthető akkumulátora gyorsan feltölt és akár 6 órán keresztül világít. A mágneses üzemmódválasztó tárcsával könnyedén váltogathat az üzemmódok között, és az intelligens teljesítményvezérlés mindig optimális fényerőn tartja az elemlámpát.
A NEBO FL750 állítható 2x-es zoommal rendelkezik, így messzebbre világíthat, ha szüksége van rá. Vízálló (IP67) és ütésálló (2 méterig) kivitelezése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sötétben. 
Válasszon a különböző üzemmódok közül, legyen szó a 750 lumenes turbó fényről vagy a hosszabb üzemidőt biztosító alacsony fényről. 
Ne engedje, hogy a sötétség átvegye az irányítást! Tegye kosarába most, és élvezze a NEBO FL750 erejét és funkcionalitását!</t>
        </is>
      </c>
    </row>
    <row r="594">
      <c r="A594" s="3" t="inlineStr">
        <is>
          <t>NEB-SPT-1005-G</t>
        </is>
      </c>
      <c r="B594" s="2" t="inlineStr">
        <is>
          <t>NEBO NEB-SPT-1005-G Master Series SL25 keresőlámpa, 600 lm, 400 m, 3 funkció, IP67, állványra szerelhető, mágneses, övcsipesz</t>
        </is>
      </c>
      <c r="C594" s="1" t="n">
        <v>46790.0</v>
      </c>
      <c r="D594" s="7" t="n">
        <f>HYPERLINK("https://www.somogyi.hu/product/nebo-neb-spt-1005-g-master-series-sl25-keresolampa-600-lm-400-m-3-funkcio-ip67-allvanyra-szerelheto-magneses-ovcsipesz-neb-spt-1005-g-18040","https://www.somogyi.hu/product/nebo-neb-spt-1005-g-master-series-sl25-keresolampa-600-lm-400-m-3-funkcio-ip67-allvanyra-szerelheto-magneses-ovcsipesz-neb-spt-1005-g-18040")</f>
        <v>0.0</v>
      </c>
      <c r="E594" s="7" t="n">
        <f>HYPERLINK("https://www.somogyi.hu/data/img/product_main_images/small/18040.jpg","https://www.somogyi.hu/data/img/product_main_images/small/18040.jpg")</f>
        <v>0.0</v>
      </c>
      <c r="F594" s="2" t="inlineStr">
        <is>
          <t>5060945230028</t>
        </is>
      </c>
      <c r="G594" s="4" t="inlineStr">
        <is>
          <t>Miért válassza a NEBO MASTER SERIES SL25 Elemlámpát?
Mert ez a masszív és megbízható 500 lumenes elemlámpa mindent tud, amire szüksége lehet! USB-C újratölthető akkumulátorokkal, mágneses üzemmódválasztó tárcsával és intelligens teljesítményvezérléssel rendelkezik.
Optimalizált teljesítménygörbéje révén mindig maximális fényt nyújt, valamint állványra is rögzíthető. Az ergonomikus gumírozott markolat kényelmes fogást biztosít, és a vízálló (IP67), ütésálló (2 méterig), eloxált repülőgép minőségű alumínium kivitel tartósságot garantál.
A NEBO SL25-öt erős mágneses talppal és LED teljesítmény/töltésjelzővel látták el. Válasszon a különböző üzemmódok közül, és élvezze a hosszú üzemidőt, legyen szó az 500 lumenes szpot megvilágításról, a 600 lumenes fehér COB világításról. 
Ezzel a lámpával a legsötétebb éjszaka is nappallá változik! Tegye kosarába most, és fedezze fel a fény erejét!</t>
        </is>
      </c>
    </row>
    <row r="595">
      <c r="A595" s="3" t="inlineStr">
        <is>
          <t>NEB-POC-1002-G</t>
        </is>
      </c>
      <c r="B595" s="2" t="inlineStr">
        <is>
          <t>NEBO NEB-POC-1002-G Master Series PL500 toll-lámpa, 500 lm - 25 lm, 70 m, zsebcsipesz, mágneses, USB-C</t>
        </is>
      </c>
      <c r="C595" s="1" t="n">
        <v>16390.0</v>
      </c>
      <c r="D595" s="7" t="n">
        <f>HYPERLINK("https://www.somogyi.hu/product/nebo-neb-poc-1002-g-master-series-pl500-toll-lampa-500-lm-25-lm-70-m-zsebcsipesz-magneses-usb-c-neb-poc-1002-g-18038","https://www.somogyi.hu/product/nebo-neb-poc-1002-g-master-series-pl500-toll-lampa-500-lm-25-lm-70-m-zsebcsipesz-magneses-usb-c-neb-poc-1002-g-18038")</f>
        <v>0.0</v>
      </c>
      <c r="E595" s="7" t="n">
        <f>HYPERLINK("https://www.somogyi.hu/data/img/product_main_images/small/18038.jpg","https://www.somogyi.hu/data/img/product_main_images/small/18038.jpg")</f>
        <v>0.0</v>
      </c>
      <c r="F595" s="2" t="inlineStr">
        <is>
          <t>5060945230004</t>
        </is>
      </c>
      <c r="G595" s="4" t="inlineStr">
        <is>
          <t>Keresi a tökéletes fényforrást, ami mindig kéznél van? Ismerje meg a NEBO MASTER SERIES PL500 toll lámpát!
Ez a masszív és megbízható 500 lumenes lámpa minden helyzetben kiváló teljesítményt nyújt. 
Az USB-C újratölthető akkumulátorral rendelkező PL500 munkára termett. A mágneses üzemmódválasztó tárcsával könnyedén váltogathat az üzemmódok között, és az intelligens teljesítményvezérlés mindig optimális fényerőn tartja.
Az állítható 4x-es zoom segítségével precízen irányíthatja a fényt, a zsebcsipesznek köszönhetően mindig kéznél lesz. A vízálló (IP67) és ütésálló (2 méterig) kivitelezés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fény nélkül. Válassza ki az 5 féle üzemmódból az éppen megfelelőt, a turbó fénytől kezdve egészen a stroboszkópig. 
Tegye kosarába most, és hozza ki a legtöbbet a NEBO PL500 toll lámpából!</t>
        </is>
      </c>
    </row>
    <row r="596">
      <c r="A596" s="3" t="inlineStr">
        <is>
          <t>NEB-HLP-1006-G</t>
        </is>
      </c>
      <c r="B596" s="2" t="inlineStr">
        <is>
          <t>NEBO NEB-HLP-1006-G Master Series HL1000 fejlámpa, 1000 lm - 30 lm, 138 m, 5 funkció, IP67, mágneses, USB-C</t>
        </is>
      </c>
      <c r="C596" s="1" t="n">
        <v>29190.0</v>
      </c>
      <c r="D596" s="7" t="n">
        <f>HYPERLINK("https://www.somogyi.hu/product/nebo-neb-hlp-1006-g-master-series-hl1000-fejlampa-1000-lm-30-lm-138-m-5-funkcio-ip67-magneses-usb-c-neb-hlp-1006-g-18039","https://www.somogyi.hu/product/nebo-neb-hlp-1006-g-master-series-hl1000-fejlampa-1000-lm-30-lm-138-m-5-funkcio-ip67-magneses-usb-c-neb-hlp-1006-g-18039")</f>
        <v>0.0</v>
      </c>
      <c r="E596" s="7" t="n">
        <f>HYPERLINK("https://www.somogyi.hu/data/img/product_main_images/small/18039.jpg","https://www.somogyi.hu/data/img/product_main_images/small/18039.jpg")</f>
        <v>0.0</v>
      </c>
      <c r="F596" s="2" t="inlineStr">
        <is>
          <t>5060945230011</t>
        </is>
      </c>
      <c r="G596" s="4" t="inlineStr">
        <is>
          <t>Elgondolkodott már azon, hogy milyen lehet a tökéletes fejlámpa? A válasz: NEBO MASTER SERIES HL1000.
Ez a masszív és megbízható 1000 lumenes fejlámpa mindent megad, amire szüksége lehet. 
Az USB-C újratölthető akkumulátorral (18650) és az intelligens teljesítményvezérléssel mindig optimális fényerőn világít, így nem marad sötétben. 
A mágneses üzemmódválasztó tárcsával könnyen válthat az üzemmódok között, és az optimalizált teljesítménygörbe biztosítja, hogy mindig a legjobbat hozza ki belőle.
A NEBO HL1000 fejlámpa rendkívül strapabíró, vízálló (IP67) és ütésálló (2 méterig) kialakítású, így bármilyen körülmények között megbízhatóan működik. 
Az erős mágneses talp segítségével könnyedén rögzítheti fémtárgyakhoz, a levehető tartó pedig kényelmes és sokrétű felhasználást biztosít.
A LED teljesítmény/töltésjelző mindig tájékoztatja önt az akkumulátor állapotáról, így soha nem éri meglepetés. 
Válassza ki a megfelelő üzemmódot a turbó fénytől kezdve egészen a stroboszkópig. A NEBO MASTER SERIES HL1000 fejlámpa az Ön biztonságát és kényelmét szolgálja. 
Tegye kosarába most, és fedezze fel, hogy milyen könnyedén lehet világos az éjszaka!</t>
        </is>
      </c>
    </row>
    <row r="597">
      <c r="A597" s="3" t="inlineStr">
        <is>
          <t>NEB-POC-1000-G</t>
        </is>
      </c>
      <c r="B597" s="2" t="inlineStr">
        <is>
          <t>NEBO NEB-POC-1000-G Inspector 500+ zseblámpa, 500 lm - 20 lm, 8 üzemmód, Flex Power, Smart Power Control, IPX7, 750 mAh, mágneses</t>
        </is>
      </c>
      <c r="C597" s="1" t="n">
        <v>13290.0</v>
      </c>
      <c r="D597" s="7" t="n">
        <f>HYPERLINK("https://www.somogyi.hu/product/nebo-neb-poc-1000-g-inspector-500-zseblampa-500-lm-20-lm-8-uzemmod-flex-power-smart-power-control-ipx7-750-mah-magneses-neb-poc-1000-g-17825","https://www.somogyi.hu/product/nebo-neb-poc-1000-g-inspector-500-zseblampa-500-lm-20-lm-8-uzemmod-flex-power-smart-power-control-ipx7-750-mah-magneses-neb-poc-1000-g-17825")</f>
        <v>0.0</v>
      </c>
      <c r="E597" s="7" t="n">
        <f>HYPERLINK("https://www.somogyi.hu/data/img/product_main_images/small/17825.jpg","https://www.somogyi.hu/data/img/product_main_images/small/17825.jpg")</f>
        <v>0.0</v>
      </c>
      <c r="F597" s="2" t="inlineStr">
        <is>
          <t>5060063228945</t>
        </is>
      </c>
      <c r="G597" s="4" t="inlineStr">
        <is>
          <t>Hogyan lehet egy zseblámpa ennyire sokoldalú, modern és mégis egyszerűen kezelhető? 
Az új NEBO INSPECTOR 500+ nem csupán világít, de igazi technológiai csoda a zsebében. 
A készülék repülőipari minőségű, eloxált alumíniumból készült, és IPX7-es vízállósággal, valamint ütésállósággal rendelkezik, így a legextrémebb körülmények között is megbízható.
A Flex-Power™ (lehetővé teszi a lámpa újratölthető vagy AAA elemekkel való működtetését) és a Smart Power Control (intelligens teljesítmény-szabályozás) lehetővé teszik, hogy változatos energiaforrásokat használjon: az újratölthető 750 mAh akkumulátort vagy akár AAA elemeket is. 
Az alacsony töltöttségi szint kijelzése folyamatosan tájékoztatja az akku állapotáról. Az eltávolítható tartónak és az állítható dőlésszögnek köszönhetően tökéletesen igazíthatja a fény irányát. 
Az erős mágneses vég pedig biztosítja, hogy a lámpa szükség esetén egy fémfelületen is megállja a helyét.
A NEBO INSPECTOR 500+ fényerőssége is lenyűgöző: az akkumulátorral üzemeltetve az irányított fény mód turbó (500 lm), nagy (250 lm), közepes (25 lm) és villogó (250 lm) fényerősségekkel, míg a szórt fény mód turbó (400 lm), nagy (200 lm), kis (20 lm) és villogó (200 lm) fényerősségekkel rendelkezik. Ha AAA elemmel használja, az irányított fény mód turbó (140 lm), nagy (70 lm), közepes (7 lm) és villogó (70 lm) fényerősségekkel működik. 
Mindezeket kompakt méretben, csak 16 x ∅1,7 cm.
Fedezze fel a NEBO INSPECTOR 500+ zseblámpa kivételes tulajdonságait, és tegye az életét könnyebbé és világosabbá, mint valaha!</t>
        </is>
      </c>
    </row>
    <row r="598">
      <c r="A598" s="3" t="inlineStr">
        <is>
          <t>NEB-SPT-1004-G</t>
        </is>
      </c>
      <c r="B598" s="2" t="inlineStr">
        <is>
          <t>NEBO NEB-SPT-1004-G Luxtreme SL25R keresőlámpa, 500 lm, 400 m, 3 funkció, IP67, 2000 mAh, 1/4" tripodra szerelhető, övcsipesz, mágneses</t>
        </is>
      </c>
      <c r="C598" s="1" t="n">
        <v>29990.0</v>
      </c>
      <c r="D598" s="7" t="n">
        <f>HYPERLINK("https://www.somogyi.hu/product/nebo-neb-spt-1004-g-luxtreme-sl25r-keresolampa-500-lm-400-m-3-funkcio-ip67-2000-mah-1-4-tripodra-szerelheto-ovcsipesz-magneses-neb-spt-1004-g-17824","https://www.somogyi.hu/product/nebo-neb-spt-1004-g-luxtreme-sl25r-keresolampa-500-lm-400-m-3-funkcio-ip67-2000-mah-1-4-tripodra-szerelheto-ovcsipesz-magneses-neb-spt-1004-g-17824")</f>
        <v>0.0</v>
      </c>
      <c r="E598" s="7" t="n">
        <f>HYPERLINK("https://www.somogyi.hu/data/img/product_main_images/small/17824.jpg","https://www.somogyi.hu/data/img/product_main_images/small/17824.jpg")</f>
        <v>0.0</v>
      </c>
      <c r="F598" s="2" t="inlineStr">
        <is>
          <t>5060063229379</t>
        </is>
      </c>
      <c r="G598" s="4" t="inlineStr">
        <is>
          <t>Szeretne egy elemlámpát, ami szinte bárhol és bármikor megállja a helyét? A NEBO LUXTREME SL25R minden elvárását felülmúlja.
Ez az elemlámpa nemcsak egy fényforrás, hanem egy igazi túlélő. Az eloxált, repülőipari minőségű alumínium ház megvédi a külső behatásoktól, és a víz-, és porálló (IP67), ütésálló kialakításnak köszönhetően majdnem minden időjárási körülménynek ellenáll.
Az üzemmódválasztó tárcsa lehetővé teszi, hogy könnyedén váltogasson a keresőlámpa-funkció, szórt fény és piros szórt fény között, így mindig megtalálja a megfelelő világítási módot. A szabványos, 1/4” tripodra való szerelhetőségnek köszönhetően könnyedén rögzítheti bárhol, ahol szüksége van rá.
Az övcsipesz praktikus viseletet biztosít, és az erős mágneses talpnak köszönhetően szinte bármilyen fémfelülethez rögzítheti. A 2000 mAh akkumulátor hosszú üzemidőt biztosít, így nem kell aggódnia az elemek cseréje miatt.
Ne hagyja ki ezt a lehetőséget, és tegye kosarába még ma, hogy felfedezhesse, mire képes ez a kivételes elemlámpa! 
A NEBO LUXTREME SL25R mindig és mindenhol Ön mellett áll, legyen szó akár kempingezésről, túrázásról vagy egyszerűen csak otthoni használatról.</t>
        </is>
      </c>
    </row>
    <row r="599">
      <c r="A599" s="3" t="inlineStr">
        <is>
          <t>NEB-7007-G</t>
        </is>
      </c>
      <c r="B599" s="2" t="inlineStr">
        <is>
          <t>NEBO NEB-7007-G Angle Light, 220 lm, mágneses, akasztható, forgatható fejű lámpa</t>
        </is>
      </c>
      <c r="C599" s="1" t="n">
        <v>5090.0</v>
      </c>
      <c r="D599" s="7" t="n">
        <f>HYPERLINK("https://www.somogyi.hu/product/nebo-neb-7007-g-angle-light-220-lm-magneses-akaszthato-forgathato-feju-lampa-neb-7007-g-17821","https://www.somogyi.hu/product/nebo-neb-7007-g-angle-light-220-lm-magneses-akaszthato-forgathato-feju-lampa-neb-7007-g-17821")</f>
        <v>0.0</v>
      </c>
      <c r="E599" s="7" t="n">
        <f>HYPERLINK("https://www.somogyi.hu/data/img/product_main_images/small/17821.jpg","https://www.somogyi.hu/data/img/product_main_images/small/17821.jpg")</f>
        <v>0.0</v>
      </c>
      <c r="F599" s="2" t="inlineStr">
        <is>
          <t>5060063228877</t>
        </is>
      </c>
      <c r="G599" s="4" t="inlineStr">
        <is>
          <t>Egy olyan univerzálisan használható világítási megoldást keres, ami tökéletes társ a munkában és a szabadidőben egyaránt? 
A NEBO ANGLE LIGHT munka- és hobbylámpa erre az igényre ad választ. 
A termék műanyag borítása és IPX4 besorolása gondoskodik a vízálló kialakításról, így az eső és a fröccsenő víz sem okoz problémát.
Az erős mágneses talp és az akasztó révén a lámpa könnyedén rögzíthető fémfelületekre vagy akár ágakra, szögekre is. A lámpa feje 180 fokban fordítható, tehát a fényirány könnyen szabályozható a feladat igényeihez mérten. 
Egyetlen üzemmódban 220 lumen fényáramot biztosít, amely optimális a legtöbb háztartási és ipari alkalmazás számára. 
Mindezt kompakt méretben, a lámpa csupán 8,5 x 8 x 3,8 cm. 
Tápellátásáról 3 x AAA alkáli elem gondoskodik, melyet a csomagolásban megtalál.
Ne hagyja ki a lehetőséget, és szerezze be a NEBO ANGLE LIGHT-ot most, hogy mindig kéznél legyen egy megbízható és sokoldalú világítási eszköz!</t>
        </is>
      </c>
    </row>
    <row r="600">
      <c r="A600" s="3" t="inlineStr">
        <is>
          <t>NEB-HLP-1001-G</t>
        </is>
      </c>
      <c r="B600" s="2" t="inlineStr">
        <is>
          <t>NEBO NEB-HLP-1001-G Transcend 1500, Fejlámpa, 1500 lm - 30 lm, 5 üzemmód, Smart Powr Control, IPX7, 3200 mAh</t>
        </is>
      </c>
      <c r="C600" s="1" t="n">
        <v>26190.0</v>
      </c>
      <c r="D600" s="7" t="n">
        <f>HYPERLINK("https://www.somogyi.hu/product/nebo-neb-hlp-1001-g-transcend-1500-fejlampa-1500-lm-30-lm-5-uzemmod-smart-powr-control-ipx7-3200-mah-neb-hlp-1001-g-17819","https://www.somogyi.hu/product/nebo-neb-hlp-1001-g-transcend-1500-fejlampa-1500-lm-30-lm-5-uzemmod-smart-powr-control-ipx7-3200-mah-neb-hlp-1001-g-17819")</f>
        <v>0.0</v>
      </c>
      <c r="E600" s="7" t="n">
        <f>HYPERLINK("https://www.somogyi.hu/data/img/product_main_images/small/17819.jpg","https://www.somogyi.hu/data/img/product_main_images/small/17819.jpg")</f>
        <v>0.0</v>
      </c>
      <c r="F600" s="2" t="inlineStr">
        <is>
          <t>5060063228211</t>
        </is>
      </c>
      <c r="G600" s="4" t="inlineStr">
        <is>
          <t>Keres egy fejlámpát, amely nem csupán a sötétségben segíti Önt, de a legkülönbözőbb helyzetekhez is alkalmazkodik? 
A NEBO TRANSCEND 1500 fejlámpa az, amire szüksége van, ha igazán sokoldalú és megbízható társat keres. 
Eloxált, repülőipari minőségű alumíniumból készült, és víz- (IPX7) valamint ütésálló, így rendkívüli tartósság jellemzi.
A 3200 mAh akkumulátor hosszú üzemidőt biztosít, míg a Smart Power Control (intelligens teljesítmény-szabályozás) és az alacsony töltöttségi szint kijelzése révén a fejlámpa használata egyszerű és kényelmes. Az eltávolítható tartóval és az állítható dőlésszöggel a lámpa tökéletesen igazodik a használó igényeihez. 
Az erős mágneses talp lehetővé teszi a lámpa rögzítését fém felületeken. 
Turbó (1500 lm), nagy fényerő (750 lm), közepes fényerő (300 lm), kis fényerő (30 lm) és villogó üzemmód (750 lm) állnak rendelkezésre, így a lámpa széles spektrumú felhasználást tesz lehetővé. 
Mindezt kompakt méretben (fejpánt nélküli dimenziók 3,4 x 9,47 x 4,22 cm).
Ismerje meg a NEBO TRANSCEND 1500 fejlámpa előnyeit és élvezze a minőségi, megbízható világítást! Ne hagyja, hogy a sötétség korlátozza, lépjen be az új dimenzióba a világítástechnikában!</t>
        </is>
      </c>
    </row>
    <row r="601">
      <c r="A601" s="3" t="inlineStr">
        <is>
          <t>NEB-OTH-0001-G</t>
        </is>
      </c>
      <c r="B601" s="2" t="inlineStr">
        <is>
          <t>NEBO NEB-OTH-0001-G High Bright 6000, 6000 lm, 60 W, garázslámpa</t>
        </is>
      </c>
      <c r="C601" s="1" t="n">
        <v>12590.0</v>
      </c>
      <c r="D601" s="7" t="n">
        <f>HYPERLINK("https://www.somogyi.hu/product/nebo-neb-oth-0001-g-high-bright-6000-6000-lm-60-w-garazslampa-neb-oth-0001-g-17434","https://www.somogyi.hu/product/nebo-neb-oth-0001-g-high-bright-6000-6000-lm-60-w-garazslampa-neb-oth-0001-g-17434")</f>
        <v>0.0</v>
      </c>
      <c r="E601" s="7" t="n">
        <f>HYPERLINK("https://www.somogyi.hu/data/img/product_main_images/small/17434.jpg","https://www.somogyi.hu/data/img/product_main_images/small/17434.jpg")</f>
        <v>0.0</v>
      </c>
      <c r="F601" s="2" t="inlineStr">
        <is>
          <t>5060063228617</t>
        </is>
      </c>
      <c r="G601" s="4" t="inlineStr">
        <is>
          <t>Megesett már Önnel, hogy garázsában alig talált meg valamit a gyenge fényviszonyok miatt? 
Amennyiben igen, bemutatjuk Önnek a HIGH BRIGHT 6000 ultrafényes garázslámpát, amely teljesen új szintre emeli a tér bevilágítását! 
Ez a forradalmi lámpa egyenként, 90 fokban állítható LED panelekkel rendelkezik, így a fény pontosan oda irányítható, ahol arra szükség van.
Az energiahatékony, mindössze 60 W-os kialakítás ellenére a HIGH BRIGHT 6000 elképesztő, 6000 lumen fényerővel bír, ami 600%-kal nagyobb fényerőt biztosít, mint egy átlagos 60 W-os izzó. 
A gyors és könnyű felszerelésnek köszönhetően rövid idő alatt birtokba veheti új, fényben úszó garázsát. 
A kompakt méreteknek – behajtott panelekkel mindössze 11,6 x 13 x 12,7 cm – köszönhetően a lámpa még a legszűkebb helyeken is elfér.
Ne elégedjen meg az átlagosnál kevesebbel! Ha világításról van szó, a HIGH BRIGHT 6000 nem ismer kompromisszumot. 
Rendelje meg még ma, és tapasztalja meg, milyen az, amikor a fény valóban az Ön szolgálatában áll!</t>
        </is>
      </c>
    </row>
    <row r="602">
      <c r="A602" s="3" t="inlineStr">
        <is>
          <t>NE6908</t>
        </is>
      </c>
      <c r="B602" s="2" t="inlineStr">
        <is>
          <t>NEBO NE6908 Big Poppy, PowerBank és lámpás, 300 lm, lámpás és reflektor, 3 funkció, dimmerelhető, 2600 mAh</t>
        </is>
      </c>
      <c r="C602" s="1" t="n">
        <v>15690.0</v>
      </c>
      <c r="D602" s="7" t="n">
        <f>HYPERLINK("https://www.somogyi.hu/product/nebo-ne6908-big-poppy-powerbank-es-lampas-300-lm-lampas-es-reflektor-3-funkcio-dimmerelheto-2600-mah-ne6908-17433","https://www.somogyi.hu/product/nebo-ne6908-big-poppy-powerbank-es-lampas-300-lm-lampas-es-reflektor-3-funkcio-dimmerelheto-2600-mah-ne6908-17433")</f>
        <v>0.0</v>
      </c>
      <c r="E602" s="7" t="n">
        <f>HYPERLINK("https://www.somogyi.hu/data/img/product_main_images/small/17433.jpg","https://www.somogyi.hu/data/img/product_main_images/small/17433.jpg")</f>
        <v>0.0</v>
      </c>
      <c r="F602" s="2" t="inlineStr">
        <is>
          <t>5060063227719</t>
        </is>
      </c>
      <c r="G602"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603">
      <c r="A603" s="3" t="inlineStr">
        <is>
          <t>NEB-HLP-0011-G</t>
        </is>
      </c>
      <c r="B603" s="2" t="inlineStr">
        <is>
          <t>NEBO NEB-HLP-0011-G Mycro Headlamp, 500 lm fejlámpa, IP67, 3 üzemmód, 500 mAh</t>
        </is>
      </c>
      <c r="C603" s="1" t="n">
        <v>9490.0</v>
      </c>
      <c r="D603" s="7" t="n">
        <f>HYPERLINK("https://www.somogyi.hu/product/nebo-neb-hlp-0011-g-mycro-headlamp-500-lm-fejlampa-ip67-3-uzemmod-500-mah-neb-hlp-0011-g-17419","https://www.somogyi.hu/product/nebo-neb-hlp-0011-g-mycro-headlamp-500-lm-fejlampa-ip67-3-uzemmod-500-mah-neb-hlp-0011-g-17419")</f>
        <v>0.0</v>
      </c>
      <c r="E603" s="7" t="n">
        <f>HYPERLINK("https://www.somogyi.hu/data/img/product_main_images/small/17419.jpg","https://www.somogyi.hu/data/img/product_main_images/small/17419.jpg")</f>
        <v>0.0</v>
      </c>
      <c r="F603" s="2" t="inlineStr">
        <is>
          <t>5060063228587</t>
        </is>
      </c>
      <c r="G603" s="4" t="inlineStr">
        <is>
          <t>Keresi a tökéletes társat a kempingezéshez, túrázáshoz vagy akár munkához amikor besötétedik? 
A NEBO MYCRO HEADLAMP fejlámpa ideális választás minden igényt kielégítve. 
Burkolata eloxált, repülőipari minőségű alumíniumból készült, így garantált a tartósság és a könnyű súly. 
Az IP67-es vízállósági besorolás és az ütésállóság tovább erősítik a termék megbízhatóságát a legkeményebb környezetben is.
A készülék turbó üzemmódja 400 lumen fényerővel azonnal megvilágítja környezetét, de rendelkezésre áll egy nagy fényerő (150 lm) és egy piros fény (10 lm) opció is, így minden helyzetben optimális megvilágítást biztosít. Az alacsony akkumulátorszint-kijelzésnek köszönhetően mindig tudni fogja, mikor van szükség az 500 mAh akkumulátor töltésére. 
Mindezek csupán 2,54 x 3,05 x 7,24 cm-es méretben fejpánt nélkül, így könnyedén magával viheti bárhová.
Ne halogassa tovább, szerezze be a NEBO MYCRO HEADLAMP fejlámpát most, és élvezze az azonnali, megbízható és erős megvilágítást minden körülmények között!</t>
        </is>
      </c>
    </row>
    <row r="604">
      <c r="A604" s="3" t="inlineStr">
        <is>
          <t>NEB-6700-G</t>
        </is>
      </c>
      <c r="B604" s="2" t="inlineStr">
        <is>
          <t>NEBO NEB-6700-G 450 Flex zseblámpa, 450 lm - 250 lm, 4 üzemmód, Flex Power, 6x zoom, 600 mAh</t>
        </is>
      </c>
      <c r="C604" s="1" t="n">
        <v>9690.0</v>
      </c>
      <c r="D604" s="7" t="n">
        <f>HYPERLINK("https://www.somogyi.hu/product/nebo-neb-6700-g-450-flex-zseblampa-450-lm-250-lm-4-uzemmod-flex-power-6x-zoom-600-mah-neb-6700-g-17410","https://www.somogyi.hu/product/nebo-neb-6700-g-450-flex-zseblampa-450-lm-250-lm-4-uzemmod-flex-power-6x-zoom-600-mah-neb-6700-g-17410")</f>
        <v>0.0</v>
      </c>
      <c r="E604" s="7" t="n">
        <f>HYPERLINK("https://www.somogyi.hu/data/img/product_main_images/small/17410.jpg","https://www.somogyi.hu/data/img/product_main_images/small/17410.jpg")</f>
        <v>0.0</v>
      </c>
      <c r="F604" s="2" t="inlineStr">
        <is>
          <t>5060063228778</t>
        </is>
      </c>
      <c r="G604" s="4" t="inlineStr">
        <is>
          <t>Mi az, amitől egy zseblámpa valóban kivételes lehet? A válasz nem más, mint a NEBO 450 FLEX, ahol az erő és a rugalmasság találkozik. 
Az eszköz eloxált, repülőipari minőségű alumíniumból készült, ami garancia a tartósságra és az időtállóságra. 
Emellett víz- és ütésálló, így a természet kihívásaihoz is alkalmazkodik.
Az 6x-os zoom lehetőségével a fényerő és a fénykéve iránya kiválóan szabályozható. 
Az övcsipesz és az erős mágneses talp rendkívül praktikus, ha kéz nélküli műveletek végzésére kerül sor. 
A Flex Power technológia révén a lámpa tápellátása rugalmas: választhat az újratölthető 600 mAh akkumulátor és az AA elemek között. Az akkumulátorral turbó (450 lm), nagy (250 lm) és kis (80 lm) fényerővel, valamint villogó üzemmóddal (250 lm) is használható. Ha AA elemmel üzemelteti, akkor is rendelkezésre áll a nagy (90 lm), a kis (30 lm) fényerő és a villogó üzemmód (90 lm). 
Mindez egy kompakt méretben, csak 10,7 x ∅2,9 cm.
Ne maradjon le a NEBO 450 FLEX zseblámpa által kínált egyedülálló lehetőségekről! Válassza ezt a tökéletes társat mindennapi és szakmai kihívásaihoz!</t>
        </is>
      </c>
    </row>
    <row r="605">
      <c r="A605" s="3" t="inlineStr">
        <is>
          <t>NEB-6373-G</t>
        </is>
      </c>
      <c r="B605" s="2" t="inlineStr">
        <is>
          <t>NEBO NEB-6373-G Lil Larry munkalámpa, 250 lm, mágneses, övcsipesz, csúszásgátló markolat</t>
        </is>
      </c>
      <c r="C605" s="1" t="n">
        <v>5890.0</v>
      </c>
      <c r="D605" s="7" t="n">
        <f>HYPERLINK("https://www.somogyi.hu/product/nebo-neb-6373-g-lil-larry-munkalampa-250-lm-magneses-ovcsipesz-csuszasgatlo-markolat-neb-6373-g-17408","https://www.somogyi.hu/product/nebo-neb-6373-g-lil-larry-munkalampa-250-lm-magneses-ovcsipesz-csuszasgatlo-markolat-neb-6373-g-17408")</f>
        <v>0.0</v>
      </c>
      <c r="E605" s="7" t="n">
        <f>HYPERLINK("https://www.somogyi.hu/data/img/product_main_images/small/17408.jpg","https://www.somogyi.hu/data/img/product_main_images/small/17408.jpg")</f>
        <v>0.0</v>
      </c>
      <c r="F605" s="2" t="inlineStr">
        <is>
          <t>5060063228556</t>
        </is>
      </c>
      <c r="G605" s="4" t="inlineStr">
        <is>
          <t>Keres egy sokoldalú szerelőlámpát, amely szinte minden helyzetben megállja a helyét? 
A NEBO LIL LARRY nem csak egy átlagos szerelőlámpa: ez egy igazi munkaeszköz, amely minőségével és funkcionalitásával a piac élvonalába tartozik. 
Az eszköz víz- és ütésálló, így a legkeményebb környezeti feltételek között is megbízhatóan használható. 
Az ergonómikus, csúszásgátló markolat kényelmes használatot tesz lehetővé, még hosszabb használatkor is.
Az acél övcsipesznek és az erős mágneses talpnak köszönhetően a lámpa különböző pozíciókban rögzíthető, így a kezei szabadon maradnak. 
A nagy teljesítményű 250 lm COB LED szerelőlámpa fénye tiszta és erős, tökéletesen alkalmas mindenféle szerelési és munkahelyi feladatokhoz. 
Ha pedig vészhelyzetben lenne, a nagy teljesítményű COB LED piros vészhelyzet villogó funkció segítségére lehet. 
Tápellátását 3 x AAA elem biztosítja, amely tartozék a csomagban. 
Az eszköz kompakt méretei, mindössze 15,4 x 1,5 x 2 cm, lehetővé teszik, hogy könnyedén magával vigye.
Ne elégedjen meg kevesebbel! Válassza a NEBO LIL LARRY szerelőlámpát, és érezze a kiváló minőséget és megbízhatóságot!</t>
        </is>
      </c>
    </row>
    <row r="606">
      <c r="A606" s="3" t="inlineStr">
        <is>
          <t>NEB-HLP-0005-G</t>
        </is>
      </c>
      <c r="B606" s="2" t="inlineStr">
        <is>
          <t>NEBO NEB-HLP-0005-G Einstein 400, 400 lm - 15 lm, IPX4, 5 üzemmód, 300 mAh akkumulátor</t>
        </is>
      </c>
      <c r="C606" s="1" t="n">
        <v>11590.0</v>
      </c>
      <c r="D606" s="7" t="n">
        <f>HYPERLINK("https://www.somogyi.hu/product/nebo-neb-hlp-0005-g-einstein-400-400-lm-15-lm-ipx4-5-uzemmod-300-mah-akkumulator-neb-hlp-0005-g-17405","https://www.somogyi.hu/product/nebo-neb-hlp-0005-g-einstein-400-400-lm-15-lm-ipx4-5-uzemmod-300-mah-akkumulator-neb-hlp-0005-g-17405")</f>
        <v>0.0</v>
      </c>
      <c r="E606" s="7" t="n">
        <f>HYPERLINK("https://www.somogyi.hu/data/img/product_main_images/small/17405.jpg","https://www.somogyi.hu/data/img/product_main_images/small/17405.jpg")</f>
        <v>0.0</v>
      </c>
      <c r="F606" s="2" t="inlineStr">
        <is>
          <t>5060063228341</t>
        </is>
      </c>
      <c r="G606" s="4" t="inlineStr">
        <is>
          <t>A NEBO EINSTEIN™ 400 ötféle üzemmódban működő, nagy fényerejű kompakt fejlámpa, amely maximálisan a 400 lumenes fényerővel 133 méter távolságra is tökéletes láthatóságot produkál.
Anyaga ABS és alumínium, így könnyű kivitelű. Vízállóságának köszönhetően a nedves környezetben is gond nélkül használhatjuk.
Méretei és paraméterei ideálisak, hogy sötétedéskor biztonságosan láthatóvá tegyük magunkat és a környezetünket: sport tevékenység, futás, kerékpározás, horgászat, kirándulás során. 
COB reflektorral és COB piros fénnyel rendelkezik, amely által több LED- del rendelkezik, így erősebb, egységesebb fényt, ezáltal jobb megvilágítást eredményez.
A töltésjelző jelzi a feltöltöttség mértékét. Tápellátásként az újratölthető akkumulátor tartozékként szolgál.</t>
        </is>
      </c>
    </row>
    <row r="607">
      <c r="A607" s="3" t="inlineStr">
        <is>
          <t>NEB-HLP-0007-G</t>
        </is>
      </c>
      <c r="B607" s="2" t="inlineStr">
        <is>
          <t>NEBO NEB-HLP-0007-G Einstein 1000 Flex, 1000 lm - 5 lm, IPX4, 2200 mAh, Flex Power</t>
        </is>
      </c>
      <c r="C607" s="1" t="n">
        <v>18890.0</v>
      </c>
      <c r="D607" s="7" t="n">
        <f>HYPERLINK("https://www.somogyi.hu/product/nebo-neb-hlp-0007-g-einstein-1000-flex-1000-lm-5-lm-ipx4-2200-mah-flex-power-neb-hlp-0007-g-17403","https://www.somogyi.hu/product/nebo-neb-hlp-0007-g-einstein-1000-flex-1000-lm-5-lm-ipx4-2200-mah-flex-power-neb-hlp-0007-g-17403")</f>
        <v>0.0</v>
      </c>
      <c r="E607" s="7" t="n">
        <f>HYPERLINK("https://www.somogyi.hu/data/img/product_main_images/small/17403.jpg","https://www.somogyi.hu/data/img/product_main_images/small/17403.jpg")</f>
        <v>0.0</v>
      </c>
      <c r="F607" s="2" t="inlineStr">
        <is>
          <t>5060063228372</t>
        </is>
      </c>
      <c r="G607" s="4" t="inlineStr">
        <is>
          <t>Szüksége van egy fejlámpára, amely nem csak megvilágítja az utat, de hosszú üzemidővel is bír? 
Az új NEBO EINSTEIN 1000 FLEX minden igényét kielégítheti. 
Ezzel a kompakt és könnyű eszközzel nem csak a sötétséget győzheti le, hanem az időt is. 
Ellenálló ABS és alumínium kialakítása révén a fejlámpa rendkívül tartós, és vízálló (IPX4) jellemzői miatt bátran használható szabadtéren is.
A Flex Power technológia és a turbó üzemmód lehetővé teszi az energiaszükségletekhez való gyors alkalmazkodást. 
Öt különböző fényerő áll rendelkezésre: turbó (1000 lm), nagy fényerő (350 lm), közepes fényerő (150 lm), kis fényerő (10 lm) és piros fény (5 lm) - mindezt egy erős 2200 mAh akkumulátorral, amely hosszú üzemidőt garantál. 
A termék méretei fejpánt nélkül: 12,7 x 5,08 x 7,62 cm, ami kompakt és könnyen hordozható méretet jelent.
Ne maradjon le a NEBO EINSTEIN 1000 FLEX előnyeiről, és élvezze a maximális teljesítményt és rugalmasságot! Válassza a minőséget és az innovációt, hogy a sötétség soha többé ne álljon útjába!</t>
        </is>
      </c>
    </row>
    <row r="608">
      <c r="A608" s="3" t="inlineStr">
        <is>
          <t>NEB-POC-0006-G</t>
        </is>
      </c>
      <c r="B608" s="2" t="inlineStr">
        <is>
          <t>NEBO NEB-POC-0006-G Columbo 100 zseblámpa, 100 lm - 35 lm, IP67, 4x zoom, acél zsebcsipesz</t>
        </is>
      </c>
      <c r="C608" s="1" t="n">
        <v>4990.0</v>
      </c>
      <c r="D608" s="7" t="n">
        <f>HYPERLINK("https://www.somogyi.hu/product/nebo-neb-poc-0006-g-columbo-100-zseblampa-100-lm-35-lm-ip67-4x-zoom-acel-zsebcsipesz-neb-poc-0006-g-17401","https://www.somogyi.hu/product/nebo-neb-poc-0006-g-columbo-100-zseblampa-100-lm-35-lm-ip67-4x-zoom-acel-zsebcsipesz-neb-poc-0006-g-17401")</f>
        <v>0.0</v>
      </c>
      <c r="E608" s="7" t="n">
        <f>HYPERLINK("https://www.somogyi.hu/data/img/product_main_images/small/17401.jpg","https://www.somogyi.hu/data/img/product_main_images/small/17401.jpg")</f>
        <v>0.0</v>
      </c>
      <c r="F608" s="2" t="inlineStr">
        <is>
          <t>5060063228303</t>
        </is>
      </c>
      <c r="G608" s="4" t="inlineStr">
        <is>
          <t>A NEBO COLUMBO™ 100 egy praktikus zseblámpa, amely eloxált, repülőipari minőségű alumíniumból készült és 4 x-es zoommal rendelkezik.
Easy Touch technológiával készült, 3 üzemmód közül választhatunk 100 lumen fényerőig.
Az acél zsebcsipesszel praktikusan rögzíthető zsebre, így mindig könnyedén elérhető, ha szükségünk van rá.
Méretei alapján széles körben napi használati kellék lehet. Alkalmas különböző szereléseknél, szűk, nehezen hozzáférhető helyek megvilágítására, továbbá egészségügyben pl. garatvizsgáló eszközként is kiváló.</t>
        </is>
      </c>
    </row>
    <row r="609">
      <c r="A609" s="3" t="inlineStr">
        <is>
          <t>NEB-POC-0007-G</t>
        </is>
      </c>
      <c r="B609" s="2" t="inlineStr">
        <is>
          <t>NEBO NEB-POC-0007-G Columbo 150 zseblámpa, 150 lm - 45 lm, IP67, 4x zoom, acél zsebcsipesz</t>
        </is>
      </c>
      <c r="C609" s="1" t="n">
        <v>5890.0</v>
      </c>
      <c r="D609" s="7" t="n">
        <f>HYPERLINK("https://www.somogyi.hu/product/nebo-neb-poc-0007-g-columbo-150-zseblampa-150-lm-45-lm-ip67-4x-zoom-acel-zsebcsipesz-neb-poc-0007-g-17400","https://www.somogyi.hu/product/nebo-neb-poc-0007-g-columbo-150-zseblampa-150-lm-45-lm-ip67-4x-zoom-acel-zsebcsipesz-neb-poc-0007-g-17400")</f>
        <v>0.0</v>
      </c>
      <c r="E609" s="7" t="n">
        <f>HYPERLINK("https://www.somogyi.hu/data/img/product_main_images/small/17400.jpg","https://www.somogyi.hu/data/img/product_main_images/small/17400.jpg")</f>
        <v>0.0</v>
      </c>
      <c r="F609" s="2" t="inlineStr">
        <is>
          <t>5060063228310</t>
        </is>
      </c>
      <c r="G609" s="4" t="inlineStr">
        <is>
          <t>Vajon létezik olyan zseblámpa, amely könnyen hordozható, mégis sokoldalú és strapabíró? 
Az új NEBO COLUMBO 150 zseblámpa nem csupán ezen igényeknek felel meg, hanem sok más extrával is rendelkezik, ami felülmúlja a hagyományos modelleket. 
Kialakítása eloxált, repülőipari minőségű alumíniumból történt, amely nem csak rendkívül tartós, de elegáns is. 
Az IP67-es besorolású vízállóság és ütésállóság biztosítja, hogy még a legkeményebb körülmények között is teljesítményt nyújt.
A 4x-es zoom funkciónak köszönhetően a fényerő finoman szabályozható, a helyzet igényeinek megfelelően. 
Az acél zsebcsipesznek hála, a lámpa könnyedén rögzíthető övre vagy zsebre. 
A NEBO COLUMBO 150 három különböző fényerősséggel rendelkezik: nagy fényerő (150 lm), kis fényerő (45 lm), és villogó üzemmód (150 lm). 
Tápellátásáról 2 x 1,5 V AAA elem gondoskodik, amely a csomagban már tartozék is. 
Mindezt kompakt méretben kínálja, a lámpa mérete csupán 15,04 x 2,03 x 1,81 cm.
Ismerje meg a NEBO COLUMBO 150 zseblámpát, és élvezze a kivételes teljesítményt és megbízhatóságot egy kompakt, elegáns csomagban!</t>
        </is>
      </c>
    </row>
    <row r="610">
      <c r="A610" s="3" t="inlineStr">
        <is>
          <t>NEB-FLT-0014-G</t>
        </is>
      </c>
      <c r="B610" s="2" t="inlineStr">
        <is>
          <t>NEBO NEB-FLT-0014-G Newton 500 zseblámpa, 500 lm - 30 lm, 4 funkció, IP67, 4x zoom</t>
        </is>
      </c>
      <c r="C610" s="1" t="n">
        <v>9690.0</v>
      </c>
      <c r="D610" s="7" t="n">
        <f>HYPERLINK("https://www.somogyi.hu/product/nebo-neb-flt-0014-g-newton-500-zseblampa-500-lm-30-lm-4-funkcio-ip67-4x-zoom-neb-flt-0014-g-17394","https://www.somogyi.hu/product/nebo-neb-flt-0014-g-newton-500-zseblampa-500-lm-30-lm-4-funkcio-ip67-4x-zoom-neb-flt-0014-g-17394")</f>
        <v>0.0</v>
      </c>
      <c r="E610" s="7" t="n">
        <f>HYPERLINK("https://www.somogyi.hu/data/img/product_main_images/small/17394.jpg","https://www.somogyi.hu/data/img/product_main_images/small/17394.jpg")</f>
        <v>0.0</v>
      </c>
      <c r="F610" s="2" t="inlineStr">
        <is>
          <t>5060063228259</t>
        </is>
      </c>
      <c r="G610" s="4" t="inlineStr">
        <is>
          <t>Mit tud a NEBO NEWTON 500 zseblámpa? Ismerje meg!
Ha fényre van szüksége a sötétben, akkor ez a zseblámpa Önnek való. 
Az 500 lumen fényerővel és 4x-es zoommal a NEWTON 500 minden helyzetben megbízható társ lesz.
Az eloxált, repülőipari minőségű alumínium háza ellenáll a víznek és pornak (IP67 minősítésű), így szinte bármilyen körülmények között használhatja. 
Nagy (500 lm), közepes (300 lm) és kis fényerő (30 lm) között váltogathat, attól függően, hogy mire van éppen szüksége. A villogó üzemmód pedig segítségére lehet veszélyhelyzetekben.
A NEWTON 500 zseblámpa 3 darab 1,5 V (AAA) elemmel működik, amelyeket a csomag tartalmaz. A zseblámpa kompakt méretének (összetolva 13,3 x ∅3,4 cm) köszönhetően könnyen magával viheti, így mindig kéznél lesz a szükséges fényforrás.
Ne hagyja, hogy a sötétség meglepje! Szerezze be most a NEBO NEWTON 500 zseblámpát, és legyen felkészülve minden helyzetre!</t>
        </is>
      </c>
    </row>
    <row r="611">
      <c r="A611" s="3" t="inlineStr">
        <is>
          <t>NEB-FLT-0016-G</t>
        </is>
      </c>
      <c r="B611" s="2" t="inlineStr">
        <is>
          <t>NEBO NEB-FLT-0016-G Newton 1000 zseblámpa, 1000 lm - 60 lm, 4 funkció, IP67, 3x zoom</t>
        </is>
      </c>
      <c r="C611" s="1" t="n">
        <v>14990.0</v>
      </c>
      <c r="D611" s="7" t="n">
        <f>HYPERLINK("https://www.somogyi.hu/product/nebo-neb-flt-0016-g-newton-1000-zseblampa-1000-lm-60-lm-4-funkcio-ip67-3x-zoom-neb-flt-0016-g-17393","https://www.somogyi.hu/product/nebo-neb-flt-0016-g-newton-1000-zseblampa-1000-lm-60-lm-4-funkcio-ip67-3x-zoom-neb-flt-0016-g-17393")</f>
        <v>0.0</v>
      </c>
      <c r="E611" s="7" t="n">
        <f>HYPERLINK("https://www.somogyi.hu/data/img/product_main_images/small/17393.jpg","https://www.somogyi.hu/data/img/product_main_images/small/17393.jpg")</f>
        <v>0.0</v>
      </c>
      <c r="F611" s="2" t="inlineStr">
        <is>
          <t>5060063228235</t>
        </is>
      </c>
      <c r="G611" s="4" t="inlineStr">
        <is>
          <t>Mit tud a NEBO NEWTON 1000 zseblámpa? Ismerje meg!
Ha fényre van szüksége a sötétben, akkor ez a zseblámpa Önnek való. 
Az 1000 lumen fényerővel és 3x-os zoommal a NEWTON 1000 minden helyzetben megbízható társ lesz.
Az eloxált, repülőipari minőségű alumínium háza ellenáll a víznek és pornak (IP67 minősítésű), így szinte bármilyen körülmények között használhatja. 
Nagy (1000 lm), közepes (600 lm) és kis fényerő (60 lm)között váltogathat, attól függően, hogy mire van éppen szüksége. A villogó üzemmód pedig segítségére lehet veszélyhelyzetekben.
A NEWTON 1000 zseblámpa 4 darab 1,5 V (AAA) elemmel működik, amelyeket a csomag tartalmaz. A zseblámpa kompakt méretének (összetolva 18 x ∅4,6 cm) köszönhetően könnyen magával viheti, így mindig kéznél lesz a szükséges fényforrás.
Ne hagyja, hogy a sötétség meglepje! Szerezze be most a NEBO NEWTON 1000 zseblámpát, és legyen felkészülve minden helyzetre!</t>
        </is>
      </c>
    </row>
    <row r="612">
      <c r="A612" s="3" t="inlineStr">
        <is>
          <t>NEB-FLT-0021-G</t>
        </is>
      </c>
      <c r="B612" s="2" t="inlineStr">
        <is>
          <t>NEBO NEB-FLT-0021-G Davinci 3500 zseblámpa, 3500 lm - 70 lm, 4 funkció, IP67, 3x zoom, PowerBank funkció, 4500 mAh</t>
        </is>
      </c>
      <c r="C612" s="1" t="n">
        <v>34390.0</v>
      </c>
      <c r="D612" s="7" t="n">
        <f>HYPERLINK("https://www.somogyi.hu/product/nebo-neb-flt-0021-g-davinci-3500-zseblampa-3500-lm-70-lm-4-funkcio-ip67-3x-zoom-powerbank-funkcio-4500-mah-neb-flt-0021-g-17389","https://www.somogyi.hu/product/nebo-neb-flt-0021-g-davinci-3500-zseblampa-3500-lm-70-lm-4-funkcio-ip67-3x-zoom-powerbank-funkcio-4500-mah-neb-flt-0021-g-17389")</f>
        <v>0.0</v>
      </c>
      <c r="E612" s="7" t="n">
        <f>HYPERLINK("https://www.somogyi.hu/data/img/product_main_images/small/17389.jpg","https://www.somogyi.hu/data/img/product_main_images/small/17389.jpg")</f>
        <v>0.0</v>
      </c>
      <c r="F612" s="2" t="inlineStr">
        <is>
          <t>5060063228198</t>
        </is>
      </c>
      <c r="G612" s="4" t="inlineStr">
        <is>
          <t>Mennyire világíthat egy zseblámpa 3500 lumen fényerővel? A NEBO DAVINCI 3500 zseblámpa minden kérdésedre válaszol! 
Ez a kompakt és erős zseblámpa egyaránt megfelel mindennapi használatra és szélsőséges körülmények közötti használatra is.
Az eloxált, repülőipari minőségű alumínium ház megbízható védelmet nyújt a víz és por ellen (IP67 minősítéssel rendelkezik). Az üzemmódválasztó tárcsa segítségével könnyedén állíthatod a fényerőt nagy (3500 lm), közepes (700 lm) és kis (70 lm) között, és akár villogó üzemmódban is használhatod, ha szükséges.
A beépített 4500 mAh akkumulátor hosszú üzemidőt biztosít, és még más eszközöket is tölthetsz vele, hiszen ez a zseblámpa egyben power bank is. A 3x-os zoom lehetővé teszi, hogy pontosan oda irányítsd a fényt, ahova szükséged van.
A DAVINCI 3500 kompakt mérete (20,6 x ∅4,8 cm) lehetővé teszi, hogy könnyen magaddal vidd, és bármikor felhasználhatsz. 
Ne hagyd, hogy a sötétség vagy a rossz időjárás meglepjen! Szerezd be most a NEBO DAVINCI 3500 zseblámpát, és legyél felkészült minden helyzetre!</t>
        </is>
      </c>
    </row>
    <row r="613">
      <c r="A613" s="3" t="inlineStr">
        <is>
          <t>NEB-FLT-1006-G</t>
        </is>
      </c>
      <c r="B613" s="2" t="inlineStr">
        <is>
          <t>NEBO NEB-FLT-1006-G Torchy 2K zseblámpa, 2000 lm - 50 lm, 4 funkció, IP66, 2000 mAh, övcsipesz</t>
        </is>
      </c>
      <c r="C613" s="1" t="n">
        <v>17390.0</v>
      </c>
      <c r="D613" s="7" t="n">
        <f>HYPERLINK("https://www.somogyi.hu/product/nebo-neb-flt-1006-g-torchy-2k-zseblampa-2000-lm-50-lm-4-funkcio-ip66-2000-mah-ovcsipesz-neb-flt-1006-g-17417","https://www.somogyi.hu/product/nebo-neb-flt-1006-g-torchy-2k-zseblampa-2000-lm-50-lm-4-funkcio-ip66-2000-mah-ovcsipesz-neb-flt-1006-g-17417")</f>
        <v>0.0</v>
      </c>
      <c r="E613" s="7" t="n">
        <f>HYPERLINK("https://www.somogyi.hu/data/img/product_main_images/small/17417.jpg","https://www.somogyi.hu/data/img/product_main_images/small/17417.jpg")</f>
        <v>0.0</v>
      </c>
      <c r="F613" s="2" t="inlineStr">
        <is>
          <t>5060063228686</t>
        </is>
      </c>
      <c r="G613" s="4" t="inlineStr">
        <is>
          <t>A NEBO TORCHY 2K: A nagy teljesítményű zseblámpa, amire mindig is várt!
Az eloxált, repülőipari minőségű alumínium test tartós és megbízható, amely képes kiállni a keményebb igénybevételeket is. 
Emellett a zseblámpa IP66-os víz- és ütésállósággal rendelkezik, így bátran használhatja esős időben vagy durva körülmények között.
A NEBO TORCHY 2K egy praktikus leszerelhető övcsipesszel van ellátva, amely lehetővé teszi, hogy mindig Önnél legyen, akár övre csíptetve, akár táskájában. A zseblámpa többféle fényerő beállítással rendelkezik, beleértve a turbó (2000 lm) fényerőt a nagy (500 lm), közepes (200 lm) és kis (50 lm) fényerőt. Emellett van villogó üzemmód (500 lm) is, amely kiválóan használható vészhelyzetekben vagy figyelemfelkeltésre.
A beépített 2000 mAh akkumulátor hosszú üzemidőt biztosít, és könnyen újratölthető. A kompakt méretű zseblámpa (11 x ∅2,7 cm) könnyen elfér a zsebében vagy hátizsákjában, és mindig kéznél lehet, amikor szüksége van rá.
Ne hagyja, hogy a sötétség megállítsa! Szerezze be most a NEBO TORCHY 2K zseblámpát, és legyen készen bármilyen kihívásra vagy kalandra!</t>
        </is>
      </c>
    </row>
    <row r="614">
      <c r="A614" s="3" t="inlineStr">
        <is>
          <t>NEB-LTN-1008-G</t>
        </is>
      </c>
      <c r="B614" s="2" t="inlineStr">
        <is>
          <t>NEBO NEB-LTN-1008-G lámpás, GALILEO™ AIR 500, 500 lm - 20 lm, intelligens teljesítményvezérlés, IPX4, összecsukható, 20 lm piros fény</t>
        </is>
      </c>
      <c r="C614" s="1" t="n">
        <v>12890.0</v>
      </c>
      <c r="D614" s="7" t="n">
        <f>HYPERLINK("https://www.somogyi.hu/product/nebo-neb-ltn-1008-g-lampas-galileo-air-500-500-lm-20-lm-intelligens-teljesitmenyvezerles-ipx4-osszecsukhato-20-lm-piros-feny-neb-ltn-1008-g-18559","https://www.somogyi.hu/product/nebo-neb-ltn-1008-g-lampas-galileo-air-500-500-lm-20-lm-intelligens-teljesitmenyvezerles-ipx4-osszecsukhato-20-lm-piros-feny-neb-ltn-1008-g-18559")</f>
        <v>0.0</v>
      </c>
      <c r="E614" s="7" t="n">
        <f>HYPERLINK("https://www.somogyi.hu/data/img/product_main_images/small/18559.jpg","https://www.somogyi.hu/data/img/product_main_images/small/18559.jpg")</f>
        <v>0.0</v>
      </c>
      <c r="F614" s="2" t="inlineStr">
        <is>
          <t>5060945231575</t>
        </is>
      </c>
      <c r="G614" s="4" t="inlineStr">
        <is>
          <t>Keres egy mindenhová magával vihető, megbízható fényforrást? A NEBO GALILEO™ AIR 500 lámpás az Ön tökéletes társa lesz kalandjain. Ez a rugalmas, összecsukható kialakítású lámpás könnyedén igazodik minden igényéhez, legyen szó kempingezésről, túrázásról vagy akár otthoni használatról. Kompakt és könnyű szerkezete ellenére, a tartós ABS műanyagból készült lámpatest por- és vízálló (IPX4), így bármilyen időjárási körülmények között megbízható fényforrás.
Az intelligens teljesítményvezérlés lehetővé teszi, hogy a lámpa fényerejét több üzemmódban szabályozza: a magas (500 lumen) állástól kezdve, a közepes és alacsony üzemmódokon át, egészen a villogó és piros fényig. Ez nem csak a fényerőt, hanem az akkumulátor élettartamát is optimalizálja, így a 3 db AA elemmel (nem tartozék) akár 15 órán át biztosíthat fényt. A piros és piros villogó üzemmódok kiválóan alkalmasak vészhelyzetek jelzésére, vagy ha csak diszkrét fényre van szüksége.
Az NEBO GALILEO™ AIR 500 nem csupán egy lámpás; egy megbízható társ a sötétben. Legyen szó esti olvasásról a sátorban, vagy biztonsági világításról otthon, ez a lámpás minden helyzetben megállja a helyét. Válassza a NEBO minőséget, és soha többé ne maradjon sötétben!</t>
        </is>
      </c>
    </row>
    <row r="615">
      <c r="A615" s="3" t="inlineStr">
        <is>
          <t>NEB-FLT-1070-G</t>
        </is>
      </c>
      <c r="B615" s="2" t="inlineStr">
        <is>
          <t>NEBO NEB-FLT-1070-G elemlámpa, DAVINCI 12000 RC Mag Dial, 12 000 lm - 300 lm, IP67, SPC, STC, 2x zoom, USB-C, Akkumulátor töltöttség kijelző, csuklópánt</t>
        </is>
      </c>
      <c r="C615" s="1" t="n">
        <v>56690.0</v>
      </c>
      <c r="D615" s="7" t="n">
        <f>HYPERLINK("https://www.somogyi.hu/product/nebo-neb-flt-1070-g-elemlampa-davinci-12000-rc-mag-dial-12-000-lm-300-lm-ip67-spc-stc-2x-zoom-usb-c-akkumulator-toltottseg-kijelzo-csuklopant-neb-flt-1070-g-18560","https://www.somogyi.hu/product/nebo-neb-flt-1070-g-elemlampa-davinci-12000-rc-mag-dial-12-000-lm-300-lm-ip67-spc-stc-2x-zoom-usb-c-akkumulator-toltottseg-kijelzo-csuklopant-neb-flt-1070-g-18560")</f>
        <v>0.0</v>
      </c>
      <c r="E615" s="7" t="n">
        <f>HYPERLINK("https://www.somogyi.hu/data/img/product_main_images/small/18560.jpg","https://www.somogyi.hu/data/img/product_main_images/small/18560.jpg")</f>
        <v>0.0</v>
      </c>
      <c r="F615" s="2" t="inlineStr">
        <is>
          <t>5060945231551</t>
        </is>
      </c>
      <c r="G615" s="4" t="inlineStr">
        <is>
          <t>Egy olyan elemlámpát keres, amely minden helyzetben kivilágítja az utat? A NEBO DAVINCI 12000 RC Mag Dial az Ön megoldása. Ez az USB-C újratölthető elemlámpa akár 12000 lumen fényerőt képes produkálni, így a legsötétebb éjszakában is útmutató fényként szolgál. A két állítható zoomnak köszönhetően tökéletesen szabályozható a fénykúp, legyen szükség széles körű megvilágításra vagy éppen egy konkrét pont pontos kivilágítására.
A Smart Power Control (SPC) és az Intelligens hőmérséklet-szabályozás (STC) gondoskodik arról, hogy az elemlámpa mindig optimális teljesítményt nyújtson, miközben megőrzi az akkumulátor élettartamát és védi a lámpát a túlmelegedéstől. Az ergonomikus gumi markolat biztos fogást kínál, míg az akkumulátor töltöttség kijelzője mindig tájékoztatja a felhasználót az akkumulátor állapotáról.
Az eloxált repülőgép-minőségű alumíniumból készült elemlámpa vízálló (IP67) és ütésálló, így az extrém körülmények között is megbízható társ. A csomag tartalmaz egy USB-C töltőkábelt és egy csuklópántot is, így a lámpa mindig kéznél lehet.
Válassza a NEBO DAVINCI 12000 RC Mag Dial elemlámpát, és ne hagyja, hogy a sötétség korlátozza! Legyen szó túrázásról, kempingezésről vagy akár otthoni használatról, ez a lámpa minden igényt kielégít.</t>
        </is>
      </c>
    </row>
    <row r="616">
      <c r="A616" s="3" t="inlineStr">
        <is>
          <t>NE6860</t>
        </is>
      </c>
      <c r="B616" s="2" t="inlineStr">
        <is>
          <t>NEBO REDLINE X</t>
        </is>
      </c>
      <c r="C616" s="1" t="n">
        <v>14590.0</v>
      </c>
      <c r="D616" s="7" t="n">
        <f>HYPERLINK("https://www.somogyi.hu/product/nebo-redline-x-ne6860-17431","https://www.somogyi.hu/product/nebo-redline-x-ne6860-17431")</f>
        <v>0.0</v>
      </c>
      <c r="E616" s="7" t="n">
        <f>HYPERLINK("https://www.somogyi.hu/data/img/product_main_images/small/17431.jpg","https://www.somogyi.hu/data/img/product_main_images/small/17431.jpg")</f>
        <v>0.0</v>
      </c>
      <c r="F616" s="2" t="inlineStr">
        <is>
          <t>5060063227368</t>
        </is>
      </c>
      <c r="G616" s="4" t="inlineStr">
        <is>
          <t>A NEBO REDLINE X  zseblámpa széles körben alkalmazható, szereléshez, túrázáshoz, ház körüli tevékenységekhez, horgászathoz vagy akár vadászathoz is.
Strapabíró eloxált alumíniumból készült zseblámpa víz- és ütésálló. Kis mérete által akár zsebben is elfér, hogy mindig kéznél legyen.
Előnyös tulajdonsága, hogy újratölthető 18650 Li-ion 2000 mAh akkumulátorral.
4 féle üzemmódban működtethető, így igényeinek megfelelően választható a fényerő 1800 lm-ig.</t>
        </is>
      </c>
    </row>
    <row r="617">
      <c r="A617" s="3" t="inlineStr">
        <is>
          <t>NE6542</t>
        </is>
      </c>
      <c r="B617" s="2" t="inlineStr">
        <is>
          <t>NEBO BLAST 1440 LUMEN</t>
        </is>
      </c>
      <c r="C617" s="1" t="n">
        <v>8690.0</v>
      </c>
      <c r="D617" s="7" t="n">
        <f>HYPERLINK("https://www.somogyi.hu/product/nebo-blast-1440-lumen-ne6542-18126","https://www.somogyi.hu/product/nebo-blast-1440-lumen-ne6542-18126")</f>
        <v>0.0</v>
      </c>
      <c r="E617" s="7" t="n">
        <f>HYPERLINK("https://www.somogyi.hu/data/img/product_main_images/small/18126.jpg","https://www.somogyi.hu/data/img/product_main_images/small/18126.jpg")</f>
        <v>0.0</v>
      </c>
      <c r="F617" s="2" t="inlineStr">
        <is>
          <t>5060063225388</t>
        </is>
      </c>
      <c r="G617" s="4" t="inlineStr">
        <is>
          <t xml:space="preserve"> • vízálló (IPX7) és ütésálló 
 • 4x állítható zoom 
 • Red Ring® 
 • eloxált repülőgép-minőségű alumínium 
 • tápellátás: 6 db AA elem (tartozék) 
 • súly: 431 g 
 • mérete: Ø4,7 x 18,5 cm 
 • üzemmódok: 
 • magas (1400 lumen) - 2,5 óra / 260 méter 
 • közepes (560 lumen) - 7 óra / 180 méter 
 • alacsony (140 lumen) - 30 óra / 90 méter 
 • stroboszkóp (1400 lumen) - 6 óra 
 • jelzőfény (200 lumen) - 120 óra</t>
        </is>
      </c>
    </row>
    <row r="618">
      <c r="A618" s="3" t="inlineStr">
        <is>
          <t>NB7003</t>
        </is>
      </c>
      <c r="B618" s="2" t="inlineStr">
        <is>
          <t>NEBO MYCRO 400 RC/HL</t>
        </is>
      </c>
      <c r="C618" s="1" t="n">
        <v>5590.0</v>
      </c>
      <c r="D618" s="7" t="n">
        <f>HYPERLINK("https://www.somogyi.hu/product/nebo-mycro-400-rc-hl-nb7003-18123","https://www.somogyi.hu/product/nebo-mycro-400-rc-hl-nb7003-18123")</f>
        <v>0.0</v>
      </c>
      <c r="E618" s="7" t="n">
        <f>HYPERLINK("https://www.somogyi.hu/data/img/product_main_images/small/18123.jpg","https://www.somogyi.hu/data/img/product_main_images/small/18123.jpg")</f>
        <v>0.0</v>
      </c>
      <c r="F618" s="2" t="inlineStr">
        <is>
          <t>5060063228037</t>
        </is>
      </c>
      <c r="G618" s="4" t="inlineStr">
        <is>
          <t>A NEBO MYCRO HEADLAMP egy újratölthető fej- és sapka fejlámpa egyben, amely víz- és ütésálló kivitelű, így az időjárás viszontagságainak tökéletesen ellenáll.
Az 500 mAh- os újratölthető akkumulátorral és USB csatlakozással ellátott. 6 féle üzemmódban működik, a maximális teljesítménye turbo üzemmódban 400 lumen, amellyel 60 méteres távolságra is eljut az általa kibocsájtott fény.
Direct-to-Red funkció mellett Smart Power Control funkcióval is rendelkezik, amely megakadályozza a lámpa túlmelegedéssel járó túlterheltségét.
A sapkalámpa csipesz levehető, s tetszőlegesen állítható a dőlésszög a kívánt irányba.
Méretei és paraméterei ideálisak, hogy sötétedéskor biztonságosan láthatóvá tegyük magunkat és a környezetünket: sport tevékenység, futás, kerékpározás, horgászat, kirándulás során.</t>
        </is>
      </c>
    </row>
    <row r="619">
      <c r="A619" s="3" t="inlineStr">
        <is>
          <t>NE6665</t>
        </is>
      </c>
      <c r="B619" s="2" t="inlineStr">
        <is>
          <t>NEBO TANGO NE6665 spotlámpa, 750 lm - 250 lm, USB PowerBank, víz- és ütésálló, forgatható alap, MicroUSB, 3 fokozat, fényerő memória</t>
        </is>
      </c>
      <c r="C619" s="1" t="n">
        <v>13190.0</v>
      </c>
      <c r="D619" s="7" t="n">
        <f>HYPERLINK("https://www.somogyi.hu/product/nebo-tango-ne6665-spotlampa-750-lm-250-lm-usb-powerbank-viz-es-utesallo-forgathato-alap-microusb-3-fokozat-fenyero-memoria-ne6665-18688","https://www.somogyi.hu/product/nebo-tango-ne6665-spotlampa-750-lm-250-lm-usb-powerbank-viz-es-utesallo-forgathato-alap-microusb-3-fokozat-fenyero-memoria-ne6665-18688")</f>
        <v>0.0</v>
      </c>
      <c r="E619" s="7" t="n">
        <f>HYPERLINK("https://www.somogyi.hu/data/img/product_main_images/small/18688.jpg","https://www.somogyi.hu/data/img/product_main_images/small/18688.jpg")</f>
        <v>0.0</v>
      </c>
      <c r="F619" s="2" t="inlineStr">
        <is>
          <t>5060063225708</t>
        </is>
      </c>
      <c r="G619" s="4" t="inlineStr">
        <is>
          <t>Keres egy lenyűgöző tulajdonságokkal rendelkező spotlámpát? A NEBO TANGO, NE6665 spotlámpa egy újratölthető, sokoldalú eszköz, amely két nagy teljesítményű fényforrással rendelkezik: egy 250 lumenes spotlámpával és egy 750 lumenes C•O•B szerelőlámpával. Tökéletes választás mindenki számára, aki erős és megbízható fényforrást keres bármilyen helyzetben.
A beépített power bank funkcióval a NEBO TANGO nem csak világít, hanem lehetőséget ad mobil eszközei töltésére is, így sosem marad energia nélkül. A csúszásmentes gumibevonatnak köszönhetően biztos fogást nyújt, míg a víz- és ütésálló kialakításnak hála minden környezetben megállja a helyét.
Az állítható fényerő és a fényerő memória funkció lehetővé teszi, hogy mindig a kívánt fényerősséget használhassa, a 180°-ban elforgatható alap pedig garantálja, hogy bárhova is irányítja a fényt, pontosan oda világít, ahová szüksége van rá. A mellékelt MicroUSB - USB kábel és AC adapter segítségével könnyedén újratöltheti, így mindig készen áll a használatra.
A NEBO TANGO spotlámpa szerelőlámpa üzemmódja 750 lumenes fényerővel 2 órán át világít, míg a szpotlámpa üzemmód 250 lumenes fényerővel akár 5 órán keresztül biztosít fényt, a turbó üzemmód pedig 1000 lumennel rövid ideig, de elképesztő fényerővel világít.
Válassza a NEBO TANGO spotlámpát, és élvezze a kiváló minőségű, megbízható világítást, ahol csak szüksége van rá – legyen az otthoni barkácsolás, kempingezés vagy bármilyen szabadtéri tevékenység.</t>
        </is>
      </c>
    </row>
    <row r="620">
      <c r="A620" s="3" t="inlineStr">
        <is>
          <t>NEB-LTN-6555-G</t>
        </is>
      </c>
      <c r="B620" s="2" t="inlineStr">
        <is>
          <t>NEBO NEB-LTN-6555-G Big Poppy, PowerBank és lámpás, 300 lm, lámpás és reflektor, 3 funkció, dimmerelhető, 2600 mAh</t>
        </is>
      </c>
      <c r="C620" s="1" t="n">
        <v>7290.0</v>
      </c>
      <c r="D620" s="7" t="n">
        <f>HYPERLINK("https://www.somogyi.hu/product/nebo-neb-ltn-6555-g-big-poppy-powerbank-es-lampas-300-lm-lampas-es-reflektor-3-funkcio-dimmerelheto-2600-mah-neb-ltn-6555-g-18687","https://www.somogyi.hu/product/nebo-neb-ltn-6555-g-big-poppy-powerbank-es-lampas-300-lm-lampas-es-reflektor-3-funkcio-dimmerelheto-2600-mah-neb-ltn-6555-g-18687")</f>
        <v>0.0</v>
      </c>
      <c r="E620" s="7" t="n">
        <f>HYPERLINK("https://www.somogyi.hu/data/img/product_main_images/small/18687.jpg","https://www.somogyi.hu/data/img/product_main_images/small/18687.jpg")</f>
        <v>0.0</v>
      </c>
      <c r="F620" s="2" t="inlineStr">
        <is>
          <t>5060063225395</t>
        </is>
      </c>
      <c r="G620"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621">
      <c r="A621" s="3" t="inlineStr">
        <is>
          <t>NEB-LTN-1011-G</t>
        </is>
      </c>
      <c r="B621" s="2" t="inlineStr">
        <is>
          <t>NEBO GALILEO™ TEMPEST 350 lámpás, 350 lm, 8 üzemmód, vörös fény mód, 360°és 120, lámpa módban 112 m hatótáv, IPX7, hordfül, mágneses talp</t>
        </is>
      </c>
      <c r="C621" s="1" t="n">
        <v>8490.0</v>
      </c>
      <c r="D621" s="7" t="n">
        <f>HYPERLINK("https://www.somogyi.hu/product/nebo-galileo-tempest-350-lampas-350-lm-8-uzemmod-voros-feny-mod-360-es-120-lampa-modban-112-m-hatotav-ipx7-hordful-magneses-talp-neb-ltn-1011-g-18558","https://www.somogyi.hu/product/nebo-galileo-tempest-350-lampas-350-lm-8-uzemmod-voros-feny-mod-360-es-120-lampa-modban-112-m-hatotav-ipx7-hordful-magneses-talp-neb-ltn-1011-g-18558")</f>
        <v>0.0</v>
      </c>
      <c r="E621" s="7" t="n">
        <f>HYPERLINK("https://www.somogyi.hu/data/img/product_main_images/small/18558.jpg","https://www.somogyi.hu/data/img/product_main_images/small/18558.jpg")</f>
        <v>0.0</v>
      </c>
      <c r="F621" s="2" t="inlineStr">
        <is>
          <t>5060945231568</t>
        </is>
      </c>
      <c r="G621" s="4" t="inlineStr">
        <is>
          <t>Egy sokoldalú világítási megoldást keres a szabadtéri kalandokhoz? A NEBO GALILEO™ TEMPEST 350 lámpás a tökéletes társ minden körülmények között.
Ez a kivételes eszköz 350 lumen fényerővel, valamint nyolc különböző világítási móddal - köztük egy különleges vörös fény funkcióval - biztosítja, hogy mindig a megfelelő fényviszonyok között tevékenykedhessen. A 360°-os körpanoráma vagy a 120°-os irányított világítási mód lehetővé teszi, hogy a lámpást a környezetének megfelelően használja, míg lámpaként használva a 112 méter hatótávolságú fénysugár gondoskodik arról, hogy távolra is ellásson. Az IPX7 vízállósági besorolásnak köszönhetően bármilyen időjárási körülmények között megbízható marad.
A multifunkciós, leválasztható hordfüllel és mágneses talppal rendelkező NEBO GALILEO™ TEMPEST 350 nem csak praktikus, hanem rendkívül könnyen szállítható is. Tegye próbára ezt a lámpást, és élvezze a kiváló minőségű, sokoldalú világítást bárhol, bármikor.</t>
        </is>
      </c>
    </row>
    <row r="622">
      <c r="A622" s="6" t="inlineStr">
        <is>
          <t xml:space="preserve">   Világítás / Sapkalámpa, fejlámpa</t>
        </is>
      </c>
      <c r="B622" s="6" t="inlineStr">
        <is>
          <t/>
        </is>
      </c>
      <c r="C622" s="6" t="inlineStr">
        <is>
          <t/>
        </is>
      </c>
      <c r="D622" s="6" t="inlineStr">
        <is>
          <t/>
        </is>
      </c>
      <c r="E622" s="6" t="inlineStr">
        <is>
          <t/>
        </is>
      </c>
      <c r="F622" s="6" t="inlineStr">
        <is>
          <t/>
        </is>
      </c>
      <c r="G622" s="6" t="inlineStr">
        <is>
          <t/>
        </is>
      </c>
    </row>
    <row r="623">
      <c r="A623" s="3" t="inlineStr">
        <is>
          <t>PLF 19</t>
        </is>
      </c>
      <c r="B623" s="2" t="inlineStr">
        <is>
          <t>Home PLF 19 LED fejlámpa, 80 lm, 19 LED, 4 funkció, állítható dőlésszög</t>
        </is>
      </c>
      <c r="C623" s="1" t="n">
        <v>2690.0</v>
      </c>
      <c r="D623" s="7" t="n">
        <f>HYPERLINK("https://www.somogyi.hu/product/home-plf-19-led-fejlampa-80-lm-19-led-4-funkcio-allithato-dolesszog-plf-19-8348","https://www.somogyi.hu/product/home-plf-19-led-fejlampa-80-lm-19-led-4-funkcio-allithato-dolesszog-plf-19-8348")</f>
        <v>0.0</v>
      </c>
      <c r="E623" s="7" t="n">
        <f>HYPERLINK("https://www.somogyi.hu/data/img/product_main_images/small/08348.jpg","https://www.somogyi.hu/data/img/product_main_images/small/08348.jpg")</f>
        <v>0.0</v>
      </c>
      <c r="F623" s="2" t="inlineStr">
        <is>
          <t>5998312772560</t>
        </is>
      </c>
      <c r="G623" s="4" t="inlineStr">
        <is>
          <t>A PLF 19-es LED-es fejlámpa bárkinek praktikus lehet, hiszen segítségével kezeink szabadon maradnak, ha a sötétben keresni vagy szerelni kell valamit. A fejlámpa 19 db Led-et tartalmaz, amelyek 4 különböző funkció szerint villognak. Szerkezete rendkívül praktikus, hiszen ellenáll a víznek, így esőben is bátran használható. Állítható dőlésszöge: 135°. Tápellátása: 3 X AAA [1,5 V]. Válassza a minőségi termékeket és rendeljen webáruházunkból!</t>
        </is>
      </c>
    </row>
    <row r="624">
      <c r="A624" s="3" t="inlineStr">
        <is>
          <t>HLP 7RP</t>
        </is>
      </c>
      <c r="B624" s="2" t="inlineStr">
        <is>
          <t>Home HLP 7RP LED tölthető fejlámpa, 100 lm, PIR mozgásérzékelő, 5 funkció, 1200 mAh, ~4 óra üzemidő</t>
        </is>
      </c>
      <c r="C624" s="1" t="n">
        <v>5490.0</v>
      </c>
      <c r="D624" s="7" t="n">
        <f>HYPERLINK("https://www.somogyi.hu/product/home-hlp-7rp-led-toltheto-fejlampa-100-lm-pir-mozgaserzekelo-5-funkcio-1200-mah-4-ora-uzemido-hlp-7rp-16159","https://www.somogyi.hu/product/home-hlp-7rp-led-toltheto-fejlampa-100-lm-pir-mozgaserzekelo-5-funkcio-1200-mah-4-ora-uzemido-hlp-7rp-16159")</f>
        <v>0.0</v>
      </c>
      <c r="E624" s="7" t="n">
        <f>HYPERLINK("https://www.somogyi.hu/data/img/product_main_images/small/16159.jpg","https://www.somogyi.hu/data/img/product_main_images/small/16159.jpg")</f>
        <v>0.0</v>
      </c>
      <c r="F624" s="2" t="inlineStr">
        <is>
          <t>5999084941918</t>
        </is>
      </c>
      <c r="G624" s="4" t="inlineStr">
        <is>
          <t>A HLP 7RP LED-es fejlámpa tölthető kivitelben készült, mely egy töltéssel akár 4 órát üzemel. Micro USB kábellel tölthető fel, mellyel 2,5 óra alatt eléri a teljes töltöttségét. A sokoldalú felhasználást a kézmozdulattal kapcsolható PIR mozgásérzékelő szenzor, a több funkcióban kapcsolható fényerő és az állítható dőlésszög biztosítja. 1 db 100 lm fényerejű fehér vagy 2 piros LED működése választható a fejlámpán.  
A fejlámpa kiválóan használható túrázáshoz, hegymászáshoz, de akár a szerelésben is segítségére lehet.</t>
        </is>
      </c>
    </row>
    <row r="625">
      <c r="A625" s="3" t="inlineStr">
        <is>
          <t>HLM 4</t>
        </is>
      </c>
      <c r="B625" s="2" t="inlineStr">
        <is>
          <t>Home HLM 4 LED fejlámpa, fém, 800 lm, 3 funkció, fókuszálható</t>
        </is>
      </c>
      <c r="C625" s="1" t="n">
        <v>5990.0</v>
      </c>
      <c r="D625" s="7" t="n">
        <f>HYPERLINK("https://www.somogyi.hu/product/home-hlm-4-led-fejlampa-fem-800-lm-3-funkcio-fokuszalhato-hlm-4-16169","https://www.somogyi.hu/product/home-hlm-4-led-fejlampa-fem-800-lm-3-funkcio-fokuszalhato-hlm-4-16169")</f>
        <v>0.0</v>
      </c>
      <c r="E625" s="7" t="n">
        <f>HYPERLINK("https://www.somogyi.hu/data/img/product_main_images/small/16169.jpg","https://www.somogyi.hu/data/img/product_main_images/small/16169.jpg")</f>
        <v>0.0</v>
      </c>
      <c r="F625" s="2" t="inlineStr">
        <is>
          <t>5999084942014</t>
        </is>
      </c>
      <c r="G625" s="4" t="inlineStr">
        <is>
          <t>A HLM 4 LED-es fejlámpa strapabíró fém lámpatesttel és a 800 lm nagy fényerejű LED kombinációjával kifejezetten ajánlott horgászathoz, vadászathoz, éjjeli túrázáshoz vagy munkához. A fejlámpa 2 választható fényerővel és villogás funkcióval ellátott a praktikus használat érdekében. A készülék dőlésszöge állítható. 
Tápellátásához 4 db 1,5 V (AA) elem szükséges, melyet a csomag nem tartalmaz. 
A fejlámpa kiválóan használható túrázáshoz, hegymászáshoz, de akár a szerelésben is segítségére lehet.</t>
        </is>
      </c>
    </row>
    <row r="626">
      <c r="A626" s="3" t="inlineStr">
        <is>
          <t>HLM 5R</t>
        </is>
      </c>
      <c r="B626" s="2" t="inlineStr">
        <is>
          <t>Home HLM 5R LED tölthető fejlámpa, fém, 1000 lm, 3 funkció, fókuszálható, 1200 mAh, ~9 óra üzemidő</t>
        </is>
      </c>
      <c r="C626" s="1" t="n">
        <v>6690.0</v>
      </c>
      <c r="D626" s="7" t="n">
        <f>HYPERLINK("https://www.somogyi.hu/product/home-hlm-5r-led-toltheto-fejlampa-fem-1000-lm-3-funkcio-fokuszalhato-1200-mah-9-ora-uzemido-hlm-5r-16170","https://www.somogyi.hu/product/home-hlm-5r-led-toltheto-fejlampa-fem-1000-lm-3-funkcio-fokuszalhato-1200-mah-9-ora-uzemido-hlm-5r-16170")</f>
        <v>0.0</v>
      </c>
      <c r="E626" s="7" t="n">
        <f>HYPERLINK("https://www.somogyi.hu/data/img/product_main_images/small/16170.jpg","https://www.somogyi.hu/data/img/product_main_images/small/16170.jpg")</f>
        <v>0.0</v>
      </c>
      <c r="F626" s="2" t="inlineStr">
        <is>
          <t>5999084942021</t>
        </is>
      </c>
      <c r="G626" s="4" t="inlineStr">
        <is>
          <t>A HLM 5R LED-es fém fejlámpa tölthető kivitelben készült, mely egy töltéssel akár 9 órát üzemel. Töltési ideje 4 óra. A fejlámpa 2 választható fényerővel és villogó funkcióval ellátott a praktikus használat érdekében. A készülék dőlésszöge állítható. 
A fejlámpa kiválóan használható túrázáshoz, hegymászáshoz, de akár a szerelésben is segítségére lehet.</t>
        </is>
      </c>
    </row>
    <row r="627">
      <c r="A627" s="3" t="inlineStr">
        <is>
          <t>HLP 4</t>
        </is>
      </c>
      <c r="B627" s="2" t="inlineStr">
        <is>
          <t>Home HLP 4 LED fejlámpa, 260 lm, 3 W COB LED, dönthető lámpafej, állítható fényerő</t>
        </is>
      </c>
      <c r="C627" s="1" t="n">
        <v>2790.0</v>
      </c>
      <c r="D627" s="7" t="n">
        <f>HYPERLINK("https://www.somogyi.hu/product/home-hlp-4-led-fejlampa-260-lm-3-w-cob-led-dontheto-lampafej-allithato-fenyero-hlp-4-15236","https://www.somogyi.hu/product/home-hlp-4-led-fejlampa-260-lm-3-w-cob-led-dontheto-lampafej-allithato-fenyero-hlp-4-15236")</f>
        <v>0.0</v>
      </c>
      <c r="E627" s="7" t="n">
        <f>HYPERLINK("https://www.somogyi.hu/data/img/product_main_images/small/15236.jpg","https://www.somogyi.hu/data/img/product_main_images/small/15236.jpg")</f>
        <v>0.0</v>
      </c>
      <c r="F627" s="2" t="inlineStr">
        <is>
          <t>5999084932701</t>
        </is>
      </c>
      <c r="G627" s="4" t="inlineStr">
        <is>
          <t>Mindig praktikus, ha tartunk magunknál egy fejlámpát legyen szó barlangászatról vagy egy több napos biciklitúráról. A HLP 4 típusú LED-es fejlámpa számos előnyös tulajdonsággal rendelkezik.
A lámpatest strapabíró műanyagból készült. A fejlámpa viselése rendkívül kényelmes, hiszen egy rugalmas gumipánt rögzíti. Előnye továbbá, hogy dönthető a lámpafej, illetve állítható fényerő (50%, 100%). Tápellátás: 3 x 1,5 V (AAA) elem. Válassza a minőségi termékeket és rendeljen webáruházunkból!</t>
        </is>
      </c>
    </row>
    <row r="628">
      <c r="A628" s="6" t="inlineStr">
        <is>
          <t xml:space="preserve">   Világítás / Kerékpárlámpa</t>
        </is>
      </c>
      <c r="B628" s="6" t="inlineStr">
        <is>
          <t/>
        </is>
      </c>
      <c r="C628" s="6" t="inlineStr">
        <is>
          <t/>
        </is>
      </c>
      <c r="D628" s="6" t="inlineStr">
        <is>
          <t/>
        </is>
      </c>
      <c r="E628" s="6" t="inlineStr">
        <is>
          <t/>
        </is>
      </c>
      <c r="F628" s="6" t="inlineStr">
        <is>
          <t/>
        </is>
      </c>
      <c r="G628" s="6" t="inlineStr">
        <is>
          <t/>
        </is>
      </c>
    </row>
    <row r="629">
      <c r="A629" s="3" t="inlineStr">
        <is>
          <t>BV 10</t>
        </is>
      </c>
      <c r="B629" s="2" t="inlineStr">
        <is>
          <t>Home BV 10 kerékpárlámpa készlet, 2 db fehér vagy piros LED, szilikon lámpatest, 3 funkció</t>
        </is>
      </c>
      <c r="C629" s="1" t="n">
        <v>1350.0</v>
      </c>
      <c r="D629" s="7" t="n">
        <f>HYPERLINK("https://www.somogyi.hu/product/home-bv-10-kerekparlampa-keszlet-2-db-feher-vagy-piros-led-szilikon-lampatest-3-funkcio-bv-10-11999","https://www.somogyi.hu/product/home-bv-10-kerekparlampa-keszlet-2-db-feher-vagy-piros-led-szilikon-lampatest-3-funkcio-bv-10-11999")</f>
        <v>0.0</v>
      </c>
      <c r="E629" s="7" t="n">
        <f>HYPERLINK("https://www.somogyi.hu/data/img/product_main_images/small/11999.jpg","https://www.somogyi.hu/data/img/product_main_images/small/11999.jpg")</f>
        <v>0.0</v>
      </c>
      <c r="F629" s="2" t="inlineStr">
        <is>
          <t>5999084902117</t>
        </is>
      </c>
      <c r="G629" s="4" t="inlineStr">
        <is>
          <t>Szeretne biztonságosan közlekedni kerékpárjával, akár sötétben is? A Home BV 10 kerékpárlámpa készlet a rugalmas, szilikon lámpatestnek köszönhetően könnyedén rögzíthető bármilyen kerékpárhoz, biztosítva a láthatóságot és ezzel a biztonságos közlekedést. 
A készletben található lámpák mindegyike 2 db nagy fényerejű LED-del rendelkezik, amelyek választhatóan piros vagy fehér fényt bocsátanak ki, rövid és gyors villogó, valamint folyamatos fényfunkciókkal. Az időjárásnak ellenálló kivitel gondoskodik arról, hogy a lámpák megbízhatóan működjenek még rossz időjárási körülmények között is. Minden lámpát 2 x 3 V (CR 2032) elem táplál, amelyek a csomag részét képezik, így azonnal használatba vehetők. A lámpák kompakt mérete, mindössze 3x3x4 cm, lehetővé teszi, hogy könnyen szállíthatóak és tárolhatóak legyenek. 
Válassza a Home BV 10 kerékpárlámpa készletet, és tekerjen biztonságosan minden körülmények között!</t>
        </is>
      </c>
    </row>
    <row r="630">
      <c r="A630" s="6" t="inlineStr">
        <is>
          <t xml:space="preserve">   Világítás / Szerelőlámpa</t>
        </is>
      </c>
      <c r="B630" s="6" t="inlineStr">
        <is>
          <t/>
        </is>
      </c>
      <c r="C630" s="6" t="inlineStr">
        <is>
          <t/>
        </is>
      </c>
      <c r="D630" s="6" t="inlineStr">
        <is>
          <t/>
        </is>
      </c>
      <c r="E630" s="6" t="inlineStr">
        <is>
          <t/>
        </is>
      </c>
      <c r="F630" s="6" t="inlineStr">
        <is>
          <t/>
        </is>
      </c>
      <c r="G630" s="6" t="inlineStr">
        <is>
          <t/>
        </is>
      </c>
    </row>
    <row r="631">
      <c r="A631" s="3" t="inlineStr">
        <is>
          <t>WL 07</t>
        </is>
      </c>
      <c r="B631" s="2" t="inlineStr">
        <is>
          <t>Home WL 07 LED szerelőlámpa, 3 W COB LED, 4 fehér LED, 150 lm, 2 üzemmód, mágneses</t>
        </is>
      </c>
      <c r="C631" s="1" t="n">
        <v>2790.0</v>
      </c>
      <c r="D631" s="7" t="n">
        <f>HYPERLINK("https://www.somogyi.hu/product/home-wl-07-led-szerelolampa-3-w-cob-led-4-feher-led-150-lm-2-uzemmod-magneses-wl-07-15235","https://www.somogyi.hu/product/home-wl-07-led-szerelolampa-3-w-cob-led-4-feher-led-150-lm-2-uzemmod-magneses-wl-07-15235")</f>
        <v>0.0</v>
      </c>
      <c r="E631" s="7" t="n">
        <f>HYPERLINK("https://www.somogyi.hu/data/img/product_main_images/small/15235.jpg","https://www.somogyi.hu/data/img/product_main_images/small/15235.jpg")</f>
        <v>0.0</v>
      </c>
      <c r="F631" s="2" t="inlineStr">
        <is>
          <t>5999084932695</t>
        </is>
      </c>
      <c r="G631" s="4" t="inlineStr">
        <is>
          <t>Egy megbízható és sokoldalú szerelőlámpát keres, amely tökéletes társ lehet barkácsoláshoz vagy műhelymunkákhoz? A Home WL 07 LED szerelőlámpa kiváló választás, ha egy erős és praktikus világításra van szüksége.
Ez a szerelőlámpa egy 1x3W COB LED-del és négy fehér LED-del rendelkezik, amelyek összesen 150 lumen fényerőt biztosítanak. A strapabíró ABS lámpatest garantálja a termék hosszú élettartamát és ellenálló képességét a mindennapi használat során. A puha tapintású felület jó fogást biztosít, így hosszabb ideig is kényelmesen használható.
A lámpa két kapcsolható üzemmóddal rendelkezik, amelyek között választhat: a COB LED a nagy felületű, egyenletes megvilágításért, míg a négy LED a célzott, pontos világításért. Az erős mágnes a lámpatest hátulján lehetővé teszi, hogy könnyedén rögzíthető legyen fémes felületeken, így mindig kéznél van, amikor szükség van rá. A tápellátás 4 x 1,5 V (AAA) elemmel működik, amelyek nem tartoznak a csomaghoz. A lámpa méretei (19,5 x 6 x 3,3 cm) ideálisak a hordozhatóság és a hatékony megvilágítás szempontjából. Fontos megjegyezni, hogy a termék kizárólag displayben, 12 db-os kiszerelésben rendelhető.
Válassza a Home WL 07 LED szerelőlámpát, ha egy erős, megbízható és praktikus világítási megoldást keres. Rendelje meg most, és élvezze a munka során nyújtott kényelmet és hatékonyságot!</t>
        </is>
      </c>
    </row>
    <row r="632">
      <c r="A632" s="3" t="inlineStr">
        <is>
          <t>WL 3W+7L</t>
        </is>
      </c>
      <c r="B632" s="2" t="inlineStr">
        <is>
          <t>Home WL 3W+7L LED szerelőlámpa, 3 W COB LED, 7 fehér LED, ABS, 3 üzemmód, 1800 mAh, mágneses, kampós, kihajtható</t>
        </is>
      </c>
      <c r="C632" s="1" t="n">
        <v>12990.0</v>
      </c>
      <c r="D632" s="7" t="n">
        <f>HYPERLINK("https://www.somogyi.hu/product/home-wl-3w-7l-led-szerelolampa-3-w-cob-led-7-feher-led-abs-3-uzemmod-1800-mah-magneses-kampos-kihajthato-wl-3w-7l-13952","https://www.somogyi.hu/product/home-wl-3w-7l-led-szerelolampa-3-w-cob-led-7-feher-led-abs-3-uzemmod-1800-mah-magneses-kampos-kihajthato-wl-3w-7l-13952")</f>
        <v>0.0</v>
      </c>
      <c r="E632" s="7" t="n">
        <f>HYPERLINK("https://www.somogyi.hu/data/img/product_main_images/small/13952.jpg","https://www.somogyi.hu/data/img/product_main_images/small/13952.jpg")</f>
        <v>0.0</v>
      </c>
      <c r="F632" s="2" t="inlineStr">
        <is>
          <t>5999084920043</t>
        </is>
      </c>
      <c r="G632" s="4" t="inlineStr">
        <is>
          <t>Gyakran szokott szerelni, illetve barkácsolni? Ez esetben érdemes a legpraktikusabb eszközökkel körbevenni magát.
A LED-es újratölthető szerelőlámpa előnye, hogy akár magunkkal is vihetjük egy-egy autó vagy bicikli útra, hiszen amellett, hogy egy strapabíró ABS lámpatesttel lett ellátva, 1 db 3 W COB LED-el + 7 db fehér LED-el is rendelkezik. A minőségi kialakításnak köszönhetően 3 kapcsolható üzemmód közül is választhatunk. Egy kiváló minőségű újratölthető Li-Ion akkumulátorral van ellátva, de akár tölthetjük hálózati adapterről vagy egy 12 V-os szivargyújtó töltővel.
A könnyed és praktikus használat érdekében az eszköz kihajtható, illetve a hátulján és az alján erős mágnesek találhatóak. Válassza Ön is a minőségi termékeket és rendeljen webáruházunkból!
A termék 1:1 méretben nyomtatható energiacímkéje megtalálható a weboldal „Letölthető tartalmak” menüpontjában.</t>
        </is>
      </c>
    </row>
    <row r="633">
      <c r="A633" s="3" t="inlineStr">
        <is>
          <t>PL 20</t>
        </is>
      </c>
      <c r="B633" s="2" t="inlineStr">
        <is>
          <t>Home PL 20 szerelőlámpa, 60 W, E27, IP54, fém rács, gumi markolat, kettős szigetelés</t>
        </is>
      </c>
      <c r="C633" s="1" t="n">
        <v>8290.0</v>
      </c>
      <c r="D633" s="7" t="n">
        <f>HYPERLINK("https://www.somogyi.hu/product/home-pl-20-szerelolampa-60-w-e27-ip54-fem-racs-gumi-markolat-kettos-szigeteles-pl-20-7758","https://www.somogyi.hu/product/home-pl-20-szerelolampa-60-w-e27-ip54-fem-racs-gumi-markolat-kettos-szigeteles-pl-20-7758")</f>
        <v>0.0</v>
      </c>
      <c r="E633" s="7" t="n">
        <f>HYPERLINK("https://www.somogyi.hu/data/img/product_main_images/small/07758.jpg","https://www.somogyi.hu/data/img/product_main_images/small/07758.jpg")</f>
        <v>0.0</v>
      </c>
      <c r="F633" s="2" t="inlineStr">
        <is>
          <t>5998312767207</t>
        </is>
      </c>
      <c r="G633" s="4" t="inlineStr">
        <is>
          <t>Ha kint a szabadban szerelünk, fontos ügyelnünk arra, hogy olyan világító eszközt válasszunk, amely a természeti viszonyoknak megfelelően kellően strapabíró.
A PL 20 kültéri szerelőlámpa megtestesíti mindazt, amit egy kültéri kivitelre szánt lámpától elvárhatunk. Gumírozott markolattal van ellátva, így masszívan meglehet fogni, továbbá egy fém rács védi az amúgy is vastag üvegburát. A könnyed használat érdekében a szerelőlámpa felakasztható füllel rendelkezik, valamint 5 m gumivezetékkel. Külön előnye, hogy porcelán foglalattal lett ellátva. 
Válassza a minőségi termékeket és rendeljen webáruházunkból!
A termék 1:1 méretben nyomtatható energiacímkéje megtalálható a weboldal „Letölthető tartalmak” menüpontjában.</t>
        </is>
      </c>
    </row>
    <row r="634">
      <c r="A634" s="6" t="inlineStr">
        <is>
          <t xml:space="preserve">   Világítás / Nagyítós lámpa</t>
        </is>
      </c>
      <c r="B634" s="6" t="inlineStr">
        <is>
          <t/>
        </is>
      </c>
      <c r="C634" s="6" t="inlineStr">
        <is>
          <t/>
        </is>
      </c>
      <c r="D634" s="6" t="inlineStr">
        <is>
          <t/>
        </is>
      </c>
      <c r="E634" s="6" t="inlineStr">
        <is>
          <t/>
        </is>
      </c>
      <c r="F634" s="6" t="inlineStr">
        <is>
          <t/>
        </is>
      </c>
      <c r="G634" s="6" t="inlineStr">
        <is>
          <t/>
        </is>
      </c>
    </row>
    <row r="635">
      <c r="A635" s="3" t="inlineStr">
        <is>
          <t>NKLF T5</t>
        </is>
      </c>
      <c r="B635" s="2" t="inlineStr">
        <is>
          <t>Home NKLF T5 pótfénycső NKL 01 nagyítós lámpához 22 W, 1450 lm, 6500 K</t>
        </is>
      </c>
      <c r="C635" s="1" t="n">
        <v>2990.0</v>
      </c>
      <c r="D635" s="7" t="n">
        <f>HYPERLINK("https://www.somogyi.hu/product/home-nklf-t5-potfenycso-nkl-01-nagyitos-lampahoz-22-w-1450-lm-6500-k-nklf-t5-8702","https://www.somogyi.hu/product/home-nklf-t5-potfenycso-nkl-01-nagyitos-lampahoz-22-w-1450-lm-6500-k-nklf-t5-8702")</f>
        <v>0.0</v>
      </c>
      <c r="E635" s="7" t="n">
        <f>HYPERLINK("https://www.somogyi.hu/data/img/product_main_images/small/08702.jpg","https://www.somogyi.hu/data/img/product_main_images/small/08702.jpg")</f>
        <v>0.0</v>
      </c>
      <c r="F635" s="2" t="inlineStr">
        <is>
          <t>5998312775882</t>
        </is>
      </c>
      <c r="G635" s="4" t="inlineStr">
        <is>
          <t>Szüksége van pótfénycsőre, amely képes visszaadni nagyítós lámpája eredeti fényerejét? A Home NKLF T5 pótfénycső a NKL 01 nagyítós lámpához az Ön számára ideális választás lehet, mivel ez a különleges fényforrás kifejezetten úgy lett tervezve, hogy tökéletesen illeszkedjen a NKL 01 típusú nagyítós lámpákhoz, és számos más modellhez is.
Ez a magas minőségű pótfénycső 22W teljesítményű, amely képes 1450 lumen fényáramot biztosítani, így garantálva a világos és tiszta megvilágítást minden szükséges helyzetben. A 6500k színhőmérsékletű hidegfény tökéletes választás mindenféle pontos és aprólékos munkához, segítve a felhasználókat a részletek kiemelésében és a színek pontos megkülönböztetésében.
A ∅185mm/T5 méret tökéletesen passzol a legtöbb nagyítós lámpához, így biztosítva a kompatibilitást és egyszerű cserét. Az energiaosztály G és a súlyozott energiafogyasztás 22KWh/1000h azt jelenti, hogy ez a pótfénycső nem csak hatékonyan világít, hanem gazdaságos is hosszú távon.
Ne hagyja, hogy a rossz fényviszony hátráltassa munkáját! A Home NKLF T5 pótfénycsővel biztosíthatja, hogy nagyítós lámpája mindig a legjobb fényt nyújtsa, így segítve Önt a legapróbb részletek pontos megfigyelésében és a munkájának precíz elvégzésében.</t>
        </is>
      </c>
    </row>
    <row r="636">
      <c r="A636" s="3" t="inlineStr">
        <is>
          <t>NKLL 06</t>
        </is>
      </c>
      <c r="B636" s="2" t="inlineStr">
        <is>
          <t>Home NKLL 06 LED-es nagyítós asztali lámpa, 30 hidegfényű LED, 6500 K, 400 lm, 3 dioptria nagyítás, 12 dioptria másodlagos lencse</t>
        </is>
      </c>
      <c r="C636" s="1" t="n">
        <v>18190.0</v>
      </c>
      <c r="D636" s="7" t="n">
        <f>HYPERLINK("https://www.somogyi.hu/product/home-nkll-06-led-es-nagyitos-asztali-lampa-30-hidegfenyu-led-6500-k-400-lm-3-dioptria-nagyitas-12-dioptria-masodlagos-lencse-nkll-06-15366","https://www.somogyi.hu/product/home-nkll-06-led-es-nagyitos-asztali-lampa-30-hidegfenyu-led-6500-k-400-lm-3-dioptria-nagyitas-12-dioptria-masodlagos-lencse-nkll-06-15366")</f>
        <v>0.0</v>
      </c>
      <c r="E636" s="7" t="n">
        <f>HYPERLINK("https://www.somogyi.hu/data/img/product_main_images/small/15366.jpg","https://www.somogyi.hu/data/img/product_main_images/small/15366.jpg")</f>
        <v>0.0</v>
      </c>
      <c r="F636" s="2" t="inlineStr">
        <is>
          <t>5999084934002</t>
        </is>
      </c>
      <c r="G636" s="4" t="inlineStr">
        <is>
          <t>Szüksége van egy megbízható nagyítós lámpára, amely éles és tiszta fényt biztosít aprólékos munkáihoz? A Home NKLL 06 LED-es nagyítós asztali lámpa ideális választás mindazok számára, akik precíz megvilágítást igényelnek hobbitevékenységükhöz, olvasáshoz vagy bármilyen finom munkához, ahol a részletek kiemelkedően fontosak.
Ez a modern nagyítós lámpa egy stabil, asztallapra helyezhető talppal rendelkezik, ami lehetővé teszi, hogy könnyedén pozícionálja a kívánt helyen. A 30 darab SMD 5630 LED biztosítja a hidegfényű (6500 K) megvilágítást, amely 400 lumen fényerővel ragyogja be a munkaterületet, így minden apró részlet világosan láthatóvá válik.
A ∅90 mm átmérőjű üveg nagyítólencse 3 dioptriás nagyítást nyújt, ami tökéletesen alkalmas általános használatra, míg a másodlagos lencse 12 dioptriás extra nagyítást biztosít, lehetővé téve még a legapróbb részletek megfigyelését is. A ki- és bekapcsolható funkció tovább növeli a felhasználói kényelmet, míg a 1,45 méter hosszú csatlakozókábel és a könnyű, csupán 0,85 kg tömeg biztosítja a lámpa könnyű mozgathatóságát és állíthatóságát.
Fontos megjegyezni, hogy a lámpatestben lévő LED fényforrás nem cserélhető, azonban a G energiaosztályú körfénycső gazdaságos és hatékony világítást garantál hosszú távon.
Ne hagyja, hogy a nem megfelelő világítás hátráltassa a munkáját! A Home NKLL 06 LED-es nagyítós asztali lámpa az ideális segítség minden olyan tevékenységhez, ahol a fény és a nagyítás kulcsfontosságú.</t>
        </is>
      </c>
    </row>
    <row r="637">
      <c r="A637" s="3" t="inlineStr">
        <is>
          <t>NKLF</t>
        </is>
      </c>
      <c r="B637" s="2" t="inlineStr">
        <is>
          <t>Home NKLF pótfénycső NKL 03 nagyítós lámpához, 22 W, 1450 lm, 6500 K</t>
        </is>
      </c>
      <c r="C637" s="1" t="n">
        <v>3090.0</v>
      </c>
      <c r="D637" s="7" t="n">
        <f>HYPERLINK("https://www.somogyi.hu/product/home-nklf-potfenycso-nkl-03-nagyitos-lampahoz-22-w-1450-lm-6500-k-nklf-5665","https://www.somogyi.hu/product/home-nklf-potfenycso-nkl-03-nagyitos-lampahoz-22-w-1450-lm-6500-k-nklf-5665")</f>
        <v>0.0</v>
      </c>
      <c r="E637" s="7" t="n">
        <f>HYPERLINK("https://www.somogyi.hu/data/img/product_main_images/small/05665.jpg","https://www.somogyi.hu/data/img/product_main_images/small/05665.jpg")</f>
        <v>0.0</v>
      </c>
      <c r="F637" s="2" t="inlineStr">
        <is>
          <t>5998312750032</t>
        </is>
      </c>
      <c r="G637" s="4" t="inlineStr">
        <is>
          <t>Egy megbízható pótfénycsövet keres, amely biztosítja, hogy nagyítós lámpája mindig a lehető legjobb fényt nyújtsa? A Home NKLF pótfénycső a NKL 03 nagyítós lámpához az ideális választás, amely nem csak ezt a modellt, hanem a legtöbb nagyítós lámpát is képes kiválóan kiszolgálni.
Ez a pótfénycső 22W teljesítménnyel rendelkezik, és képes 1450 lumen fényáramot biztosítani, amely tiszta és világos megvilágítást nyújt minden felhasználási területen. A 6500K színhőmérséklet ideális a legapróbb részletek megfigyeléséhez, mivel a hideg fény segít jobban megkülönböztetni a színeket és a finom textúrákat.
A ∅203mm/T9 méret tökéletesen illeszkedik a NKL 03 és más hasonló nagyítós lámpákhoz, így a csere egyszerű és gyors. Az energiaosztály G és a súlyozott energiafogyasztás 22KWh/1000h azt jelenti, hogy ez a pótfénycső hatékony választás a hosszú távú használatra, így nem csak a fényerő, hanem az energiahatékonyság szempontjából is kiváló.
Ne engedje, hogy a gyengülő fény befolyásolja a munkáját vagy a hobbiját! A Home NKLF pótfénycsővel biztosíthatja, hogy nagyítós lámpája mindig a legfényesebb és legtisztább fényt nyújtsa, így könnyedén látja a legfinomabb részleteket is.</t>
        </is>
      </c>
    </row>
    <row r="638">
      <c r="A638" s="3" t="inlineStr">
        <is>
          <t>NKL 022F</t>
        </is>
      </c>
      <c r="B638" s="2" t="inlineStr">
        <is>
          <t>Home NKL 022F pótfénycső NKL 022 nagyítós lámpához, 12 W, 720 lm, 6500 K</t>
        </is>
      </c>
      <c r="C638" s="1" t="n">
        <v>2890.0</v>
      </c>
      <c r="D638" s="7" t="n">
        <f>HYPERLINK("https://www.somogyi.hu/product/home-nkl-022f-potfenycso-nkl-022-nagyitos-lampahoz-12-w-720-lm-6500-k-nkl-022f-8476","https://www.somogyi.hu/product/home-nkl-022f-potfenycso-nkl-022-nagyitos-lampahoz-12-w-720-lm-6500-k-nkl-022f-8476")</f>
        <v>0.0</v>
      </c>
      <c r="E638" s="7" t="n">
        <f>HYPERLINK("https://www.somogyi.hu/data/img/product_main_images/small/08476.jpg","https://www.somogyi.hu/data/img/product_main_images/small/08476.jpg")</f>
        <v>0.0</v>
      </c>
      <c r="F638" s="2" t="inlineStr">
        <is>
          <t>5998312773758</t>
        </is>
      </c>
      <c r="G638" s="4" t="inlineStr">
        <is>
          <t>Egy megbízható megoldást keres, hogy nagyítós lámpája mindig a legjobb fényerőt nyújthassa? A Home NKL 022F pótfénycső a Home NKL 022 nagyítós lámpához pontosan az, amire szüksége van. 
Ez a speciálisan tervezett pótfénycső biztosítja, hogy a nagyítós lámpája mindig optimális fényerővel világíthassa meg a munkaterületet, így a részletek még egy hosszú munkanap végén is világosan és tisztán láthatóak maradnak.
A Home NKL 022F pótfénycső kulcsfontosságú jellemzői közé tartozik a könnyű cserélhetőség, ami lehetővé teszi, hogy a fényerő ne csökkenjen az idő múlásával. Ez a pótfénycső kifejezetten a Home NKL 022 nagyítós lámpához lett kialakítva, így garantálva a tökéletes illeszkedést és működést.
A cserélhető pótfénycső nem csak a fényerőt tartja magas szinten, hanem hosszabb élettartamot is biztosít a nagyítós lámpának. Így Ön hosszú távon is biztos lehet abban, hogy lámpája megfelelő megvilágítást nyújt minden aprólékos munkához.
Ne engedje, hogy a csökkenő fényerő befolyásolja a munkájának minőségét! A Home NKL 022F pótfénycsővel könnyedén fenntarthatja nagyítós lámpája fényerejét, így biztosítva, hogy a precíziós feladatok elvégzése mindig a legjobb fényviszonyok mellett történjen.</t>
        </is>
      </c>
    </row>
    <row r="639">
      <c r="A639" s="3" t="inlineStr">
        <is>
          <t>NKL 5D</t>
        </is>
      </c>
      <c r="B639" s="2" t="inlineStr">
        <is>
          <t>Home NKL 5D pótlencse nagyítós lámpához, 5 dioptria nagyítás, NKLL 05, NKL 01</t>
        </is>
      </c>
      <c r="C639" s="1" t="n">
        <v>3590.0</v>
      </c>
      <c r="D639" s="7" t="n">
        <f>HYPERLINK("https://www.somogyi.hu/product/home-nkl-5d-potlencse-nagyitos-lampahoz-5-dioptria-nagyitas-nkll-05-nkl-01-nkl-5d-5667","https://www.somogyi.hu/product/home-nkl-5d-potlencse-nagyitos-lampahoz-5-dioptria-nagyitas-nkll-05-nkl-01-nkl-5d-5667")</f>
        <v>0.0</v>
      </c>
      <c r="E639" s="7" t="n">
        <f>HYPERLINK("https://www.somogyi.hu/data/img/product_main_images/small/05667.jpg","https://www.somogyi.hu/data/img/product_main_images/small/05667.jpg")</f>
        <v>0.0</v>
      </c>
      <c r="F639" s="2" t="inlineStr">
        <is>
          <t>5998312750056</t>
        </is>
      </c>
      <c r="G639" s="4" t="inlineStr">
        <is>
          <t>Van már nagyítós lámpája, de nagyobb nagyítási képességre vágyik finom munkákhoz? A Home NKL 5D pótlencse tökéletes megoldást kínál, hogy nagyítós lámpáját még hatékonyabbá tegye. 
Ez a minőségi üveg nagyítólencse ∅125 mm átmérővel büszkélkedhet, és 2,25-szörös (5 dioptria) nagyítást nyújt, ami kiemelkedően részletes képet biztosít, legyen szó elektronikai szerelésről, finom kézműves munkákról, vagy akár olvasásról.
A lencse univerzálisan felhasználható a legtöbb nagyítós lámpatípushoz, így rugalmas megoldást kínál különféle igények kielégítésére. Különösen ajánlott az NKLL 05 és NKL 01 típusokhoz, ahol a pótlencse egyszerűen integrálható, így biztosítva, hogy a meglévő eszköz még többféle feladat elvégzésére legyen alkalmas.
Ne hagyja, hogy a korlátozott nagyítás befolyásolja a munkájának minőségét vagy a hobbija élvezetét!</t>
        </is>
      </c>
    </row>
    <row r="640">
      <c r="A640" s="3" t="inlineStr">
        <is>
          <t>NKLL 05</t>
        </is>
      </c>
      <c r="B640" s="2" t="inlineStr">
        <is>
          <t>Home NKLL 05 LED nagyítós lámpa, 56 hidegfényű LED, 685 lm, 3 vagy 5 dioptria nagyítás</t>
        </is>
      </c>
      <c r="C640" s="1" t="n">
        <v>29790.0</v>
      </c>
      <c r="D640" s="7" t="n">
        <f>HYPERLINK("https://www.somogyi.hu/product/home-nkll-05-led-nagyitos-lampa-56-hidegfenyu-led-685-lm-3-vagy-5-dioptria-nagyitas-nkll-05-9787","https://www.somogyi.hu/product/home-nkll-05-led-nagyitos-lampa-56-hidegfenyu-led-685-lm-3-vagy-5-dioptria-nagyitas-nkll-05-9787")</f>
        <v>0.0</v>
      </c>
      <c r="E640" s="7" t="n">
        <f>HYPERLINK("https://www.somogyi.hu/data/img/product_main_images/small/09787.jpg","https://www.somogyi.hu/data/img/product_main_images/small/09787.jpg")</f>
        <v>0.0</v>
      </c>
      <c r="F640" s="2" t="inlineStr">
        <is>
          <t>5998312785157</t>
        </is>
      </c>
      <c r="G640" s="4" t="inlineStr">
        <is>
          <t>Világos és tiszta megvilágításra van szüksége aprólékos munkáihoz? A Home NKLL 05 LED nagyítós lámpa kiváló választás azok számára, akik éles és pontos megvilágítást igényelnek bármilyen aprólékos tevékenységhez, legyen szó hobbiról, precíziós munkáról, vagy csak olvasásról.
Ez a korszerű eszköz 56 darab SMD 2835 LED-del rendelkezik, amelyek hidegfényű, 6500 K színhőmérsékletű fényt biztosítanak, garantálva ezzel a világos és éles látást. A 685 lumen fényerő kiválóan alkalmas minden részlet kiemelésére, miközben a ∅125 mm átmérőjű üveg nagyítólencse 3 dioptriás nagyítást nyújt, így még a legfinomabb részletek is könnyen megfigyelhetőek.
A lámpa további rugalmasságot nyújt az opciós 5 dioptriás lencse (NKL 5D) révén, amely még nagyobb nagyítást tesz lehetővé az igazán aprólékos munkákhoz. Az asztallapra szerelhető kialakítás és a ki-, bekapcsolható funkció praktikus használhatóságot garantál, míg a 1,5 méter hosszú csatlakozókábel és a 2,5 kg tömeg biztosítja a lámpa stabil és kényelmes elhelyezését munkaterületén.
A 230 V~ / 50 Hz / 9 W tápellátás gazdaságos működést biztosít, míg az NKLA 2 állvánnyal való használhatóság lehetővé teszi, hogy állványos lámpaként is funkcionáljon, növelve ezzel a lámpa sokoldalúságát. Fontos megjegyezni, hogy a lámpatestbe épített LED-lámpák nem cserélhetők, azonban az F energiahatékonysági osztály biztosítja, hogy a lámpa hatékony maradjon hosszú távon is.
Tegyen szert a Home NKLL 05 LED nagyítós lámpára, és élvezze a kiemelkedően világos és tiszta megvilágítást, amely minden részletet élesen és pontosan megjelenít, így megkönnyítve a legaprólékosabb munkákat is.</t>
        </is>
      </c>
    </row>
    <row r="641">
      <c r="A641" s="3" t="inlineStr">
        <is>
          <t>NKL 022</t>
        </is>
      </c>
      <c r="B641" s="2" t="inlineStr">
        <is>
          <t>Home NKL 022 LED nagyítós lámpa, 12 W, 450 lm, 3 dioptria nagyítás, 12 dioptria másodlagos lencse</t>
        </is>
      </c>
      <c r="C641" s="1" t="n">
        <v>13790.0</v>
      </c>
      <c r="D641" s="7" t="n">
        <f>HYPERLINK("https://www.somogyi.hu/product/home-nkl-022-led-nagyitos-lampa-12-w-450-lm-3-dioptria-nagyitas-12-dioptria-masodlagos-lencse-nkl-022-8475","https://www.somogyi.hu/product/home-nkl-022-led-nagyitos-lampa-12-w-450-lm-3-dioptria-nagyitas-12-dioptria-masodlagos-lencse-nkl-022-8475")</f>
        <v>0.0</v>
      </c>
      <c r="E641" s="7" t="n">
        <f>HYPERLINK("https://www.somogyi.hu/data/img/product_main_images/small/08475.jpg","https://www.somogyi.hu/data/img/product_main_images/small/08475.jpg")</f>
        <v>0.0</v>
      </c>
      <c r="F641" s="2" t="inlineStr">
        <is>
          <t>5998312773741</t>
        </is>
      </c>
      <c r="G641" s="4" t="inlineStr">
        <is>
          <t>Van már olyan nagyítós lámpája, amely nem csak erős fényerővel világítja meg a munkaterületet, de két különböző nagyítási szintet is kínál? A Home NKL 022 LED nagyítós lámpa minden igényt kielégítő megoldás azok számára, akik részletes munkát végeznek, legyen az elektronikai javítás, finom kézműves tevékenységek vagy akár hobbimodellezés.
Ez a lámpa asztallapra helyezhető talppal rendelkezik, ami biztosítja a stabil használatot, és a 450 lumen fényerőnek köszönhetően világos és tiszta látási körülményeket teremt. A ∅90 mm átmérőjű üveg nagyítólencse 3 dioptriás nagyítást biztosít, míg a beépített másodlagos lencse 12 dioptriás nagyítással rendelkezik, így még a legapróbb részleteket is élesen láthatja.
A lámpa körfénycsöve ∅115 mm átmérőjű és 12 W teljesítményű, ami egyenletes és árnyékmentes megvilágítást nyújt. A felhajtható, karcolást gátló védőfedél megőrzi a lencse tisztaságát és biztonságát, amikor a lámpa nem használatban van. Az 1,5 méteres hálózati kábel és a 230 V∼ / 50 Hz / 12 W tápellátás biztosítja, hogy a lámpa kényelmesen elhelyezhető és használható legyen bármely munkaállomáson.
A lámpa méretei – a fej 14x18cm, a szár 22cm, és a talp 21x11x10cm – tökéletes egyensúlyt teremtenek a kompaktság és a funkcionalitás között. A pótfénycső (NKL 022F) opció tovább növeli a termék hosszú távú használatának kényelmét és gazdaságosságát.
Ne hagyja, hogy a rossz megvilágítás vagy a nem megfelelő nagyítás hátráltassa a precíz munkavégzést!</t>
        </is>
      </c>
    </row>
    <row r="642">
      <c r="A642" s="3" t="inlineStr">
        <is>
          <t>NKL 01</t>
        </is>
      </c>
      <c r="B642" s="2" t="inlineStr">
        <is>
          <t>Home NKL 01 nagyítós lámpa, 22 W, asztallapra szerelhető, 900 lm, 3 vagy 5 dioptria nagyítás</t>
        </is>
      </c>
      <c r="C642" s="1" t="n">
        <v>25490.0</v>
      </c>
      <c r="D642" s="7" t="n">
        <f>HYPERLINK("https://www.somogyi.hu/product/home-nkl-01-nagyitos-lampa-22-w-asztallapra-szerelheto-900-lm-3-vagy-5-dioptria-nagyitas-nkl-01-5664","https://www.somogyi.hu/product/home-nkl-01-nagyitos-lampa-22-w-asztallapra-szerelheto-900-lm-3-vagy-5-dioptria-nagyitas-nkl-01-5664")</f>
        <v>0.0</v>
      </c>
      <c r="E642" s="7" t="n">
        <f>HYPERLINK("https://www.somogyi.hu/data/img/product_main_images/small/05664.jpg","https://www.somogyi.hu/data/img/product_main_images/small/05664.jpg")</f>
        <v>0.0</v>
      </c>
      <c r="F642" s="2" t="inlineStr">
        <is>
          <t>5998312750025</t>
        </is>
      </c>
      <c r="G642" s="4" t="inlineStr">
        <is>
          <t>Egy stabil asztalra szerelhető lámpát szeretne vásárolni, amely nagyítóval is rendelkezik? Ez esetben jó helyen jár! Az NKL 01 típusú asztali lámpa a 3 dioptriás nagyítást is garantálja. A világítást pedig egy jó minőségű körfénycső (∅184 mm / T5 22 W) szolgáltatja. 
Igény szerint lehetőség van akár az 5 dioptriás lencse, valamint pótfénycső használatára is. A lámpa felhajtható, továbbá karcolást gátló védővel rendelkezik. A termék rendkívül jó fényerőt biztosít, így kiváló megoldást nyújt pl. egyetemisták számára az éjszakai tanuláshoz is. Válassza a minőségi termékeket és rendeljen webáruházunkból
A termék 1:1 méretben nyomtatható energiacímkéje megtalálható a weboldal „Letölthető tartalmak” menüpontjában.</t>
        </is>
      </c>
    </row>
    <row r="643">
      <c r="A643" s="6" t="inlineStr">
        <is>
          <t xml:space="preserve">   Világítás / Fényvető, mozgásérzékelő</t>
        </is>
      </c>
      <c r="B643" s="6" t="inlineStr">
        <is>
          <t/>
        </is>
      </c>
      <c r="C643" s="6" t="inlineStr">
        <is>
          <t/>
        </is>
      </c>
      <c r="D643" s="6" t="inlineStr">
        <is>
          <t/>
        </is>
      </c>
      <c r="E643" s="6" t="inlineStr">
        <is>
          <t/>
        </is>
      </c>
      <c r="F643" s="6" t="inlineStr">
        <is>
          <t/>
        </is>
      </c>
      <c r="G643" s="6" t="inlineStr">
        <is>
          <t/>
        </is>
      </c>
    </row>
    <row r="644">
      <c r="A644" s="3" t="inlineStr">
        <is>
          <t>PIR 04/WH</t>
        </is>
      </c>
      <c r="B644" s="2" t="inlineStr">
        <is>
          <t>Home PIR 04/WH fali mozgásérzékelő, passzív infravörös (PIR) szenzor, 180°, 12 m, 1200 W</t>
        </is>
      </c>
      <c r="C644" s="1" t="n">
        <v>3690.0</v>
      </c>
      <c r="D644" s="7" t="n">
        <f>HYPERLINK("https://www.somogyi.hu/product/home-pir-04-wh-fali-mozgaserzekelo-passziv-infravoros-pir-szenzor-180-12-m-1200-w-pir-04-wh-9700","https://www.somogyi.hu/product/home-pir-04-wh-fali-mozgaserzekelo-passziv-infravoros-pir-szenzor-180-12-m-1200-w-pir-04-wh-9700")</f>
        <v>0.0</v>
      </c>
      <c r="E644" s="7" t="n">
        <f>HYPERLINK("https://www.somogyi.hu/data/img/product_main_images/small/09700.jpg","https://www.somogyi.hu/data/img/product_main_images/small/09700.jpg")</f>
        <v>0.0</v>
      </c>
      <c r="F644" s="2" t="inlineStr">
        <is>
          <t>5998312784358</t>
        </is>
      </c>
      <c r="G644" s="4" t="inlineStr">
        <is>
          <t>Önnek is fontos otthona biztonsága? Szeretné, ha egy speciális szerkezet figyelné a különféle mozgásokat és jelezné is azokat? Ez esetben feltétlenül érdemes megismerkednie a mozgásérzékelőkkel. 
A PIR 04/WH mozgásérzékelő egy passzív infravörös (PIR) szenzorral van ellátva, amely 180°-os szöget képes érzékelni. Érzékelési távolsága: 12 m. Működtetési ideje: 10 mp - 7 p között állítható. Fényérzékenysége pedig 3 -2000 LUX. A termék előnye, hogy sötétben és világosban is egyaránt működik, továbbá IP44 kültéri kivitelben ellenáll a természeti hatásoknak is. Ha Ön is egy ideális mozgásérzékelő vásárlását tervezi, akkor keresve sem talál jobbat!</t>
        </is>
      </c>
    </row>
    <row r="645">
      <c r="A645" s="3" t="inlineStr">
        <is>
          <t>0687H</t>
        </is>
      </c>
      <c r="B645" s="2" t="inlineStr">
        <is>
          <t>Mozgásérzékelő, PIR, IP44</t>
        </is>
      </c>
      <c r="C645" s="1" t="n">
        <v>3590.0</v>
      </c>
      <c r="D645" s="7" t="n">
        <f>HYPERLINK("https://www.somogyi.hu/product/mozgaserzekelo-pir-ip44-0687h-9802","https://www.somogyi.hu/product/mozgaserzekelo-pir-ip44-0687h-9802")</f>
        <v>0.0</v>
      </c>
      <c r="E645" s="7" t="n">
        <f>HYPERLINK("https://www.somogyi.hu/data/img/product_main_images/small/09802.jpg","https://www.somogyi.hu/data/img/product_main_images/small/09802.jpg")</f>
        <v>0.0</v>
      </c>
      <c r="F645" s="2" t="inlineStr">
        <is>
          <t>5998312785287</t>
        </is>
      </c>
      <c r="G645" s="4" t="inlineStr">
        <is>
          <t xml:space="preserve"> • szín: fekete 
 • falra szerelhető: igen 
 • hordozható: nem 
 • kapcsolható teljesítmény: max. 1000 W 
 • érzékelési szög: 180° 
 • állítható világítási idő: 10 mp - 4 p 
 • állítható fényérzékenység: igen 
 • állítható érzékelési távolság: fix 12 m 
 • IP védettségi fokozat: IP44 
 • tápellátás: 230 V~ / 50 Hz 
 • reflektorméret: - 
 • tartozékok: -</t>
        </is>
      </c>
    </row>
    <row r="646">
      <c r="A646" s="6" t="inlineStr">
        <is>
          <t xml:space="preserve">   Világítás / Mennyezeti lámpa, fali lámpa</t>
        </is>
      </c>
      <c r="B646" s="6" t="inlineStr">
        <is>
          <t/>
        </is>
      </c>
      <c r="C646" s="6" t="inlineStr">
        <is>
          <t/>
        </is>
      </c>
      <c r="D646" s="6" t="inlineStr">
        <is>
          <t/>
        </is>
      </c>
      <c r="E646" s="6" t="inlineStr">
        <is>
          <t/>
        </is>
      </c>
      <c r="F646" s="6" t="inlineStr">
        <is>
          <t/>
        </is>
      </c>
      <c r="G646" s="6" t="inlineStr">
        <is>
          <t/>
        </is>
      </c>
    </row>
    <row r="647">
      <c r="A647" s="3" t="inlineStr">
        <is>
          <t>RCO 18 LED/BK</t>
        </is>
      </c>
      <c r="B647" s="2" t="inlineStr">
        <is>
          <t>Home RCO 18 LED/BK LED fali és mennyezeti lámpa, 18 W, 2000 lm, IP65, 4000 K, ovális, fekete</t>
        </is>
      </c>
      <c r="C647" s="1" t="n">
        <v>2390.0</v>
      </c>
      <c r="D647" s="7" t="n">
        <f>HYPERLINK("https://www.somogyi.hu/product/home-rco-18-led-bk-led-fali-es-mennyezeti-lampa-18-w-2000-lm-ip65-4000-k-ovalis-fekete-rco-18-led-bk-18202","https://www.somogyi.hu/product/home-rco-18-led-bk-led-fali-es-mennyezeti-lampa-18-w-2000-lm-ip65-4000-k-ovalis-fekete-rco-18-led-bk-18202")</f>
        <v>0.0</v>
      </c>
      <c r="E647" s="7" t="n">
        <f>HYPERLINK("https://www.somogyi.hu/data/img/product_main_images/small/18202.jpg","https://www.somogyi.hu/data/img/product_main_images/small/18202.jpg")</f>
        <v>0.0</v>
      </c>
      <c r="F647" s="2" t="inlineStr">
        <is>
          <t>5999084962241</t>
        </is>
      </c>
      <c r="G647" s="4" t="inlineStr">
        <is>
          <t>Egy erős és vízálló lámpát keres, ami bármilyen időjárási körülmények között bevethető? Akkor a HOME RCO 18 LED/BK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fekete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LED/BK lámpát, és élvezd a hatékony és strapabíró világítást minden körülmények között!</t>
        </is>
      </c>
    </row>
    <row r="648">
      <c r="A648" s="3" t="inlineStr">
        <is>
          <t>RCC 210/WH</t>
        </is>
      </c>
      <c r="B648" s="2" t="inlineStr">
        <is>
          <t>Home RCC 210/WH mennyezeti lámpa, UFO, E14, 13 W</t>
        </is>
      </c>
      <c r="C648" s="1" t="n">
        <v>1590.0</v>
      </c>
      <c r="D648" s="7" t="n">
        <f>HYPERLINK("https://www.somogyi.hu/product/home-rcc-210-wh-mennyezeti-lampa-ufo-e14-13-w-rcc-210-wh-17303","https://www.somogyi.hu/product/home-rcc-210-wh-mennyezeti-lampa-ufo-e14-13-w-rcc-210-wh-17303")</f>
        <v>0.0</v>
      </c>
      <c r="E648" s="7" t="n">
        <f>HYPERLINK("https://www.somogyi.hu/data/img/product_main_images/small/17303.jpg","https://www.somogyi.hu/data/img/product_main_images/small/17303.jpg")</f>
        <v>0.0</v>
      </c>
      <c r="F648" s="2" t="inlineStr">
        <is>
          <t>5999084953256</t>
        </is>
      </c>
      <c r="G648" s="4" t="inlineStr">
        <is>
          <t>RCC 210/WH fehér, műanyag mennyezeti ufólámpa Ø21x7,5 cm-es méreténél fogva ideális háztartási helyiség, kamra megvilágítására. A lámpa csomagolása a fényforrást nem, de a felszereléséhez szükséges csavarokat, tipliket tartalmazza.</t>
        </is>
      </c>
    </row>
    <row r="649">
      <c r="A649" s="3" t="inlineStr">
        <is>
          <t>LMF 36/4500H</t>
        </is>
      </c>
      <c r="B649" s="2" t="inlineStr">
        <is>
          <t>Home LMF 36/4500H álmennyezeti LED lámpatest, 595 x 595 mm, 36 W, 4500 lm, 4000 K</t>
        </is>
      </c>
      <c r="C649" s="1" t="n">
        <v>12190.0</v>
      </c>
      <c r="D649" s="7" t="n">
        <f>HYPERLINK("https://www.somogyi.hu/product/home-lmf-36-4500h-almennyezeti-led-lampatest-595-x-595-mm-36-w-4500-lm-4000-k-lmf-36-4500h-17769","https://www.somogyi.hu/product/home-lmf-36-4500h-almennyezeti-led-lampatest-595-x-595-mm-36-w-4500-lm-4000-k-lmf-36-4500h-17769")</f>
        <v>0.0</v>
      </c>
      <c r="E649" s="7" t="n">
        <f>HYPERLINK("https://www.somogyi.hu/data/img/product_main_images/small/17769.jpg","https://www.somogyi.hu/data/img/product_main_images/small/17769.jpg")</f>
        <v>0.0</v>
      </c>
      <c r="F649" s="2" t="inlineStr">
        <is>
          <t>5999084957919</t>
        </is>
      </c>
      <c r="G649" s="4" t="inlineStr">
        <is>
          <t>Az LMF 36/4500H masszív alumínium keretű LED-es lámpatest beszerelése és üzembe helyezése rendkívül gyors és egyszerű. Nem csupán álmennyezetbe, hanem a tartozék 4 db 60 cm hosszú zsinórnak köszönhetően mennyezetről függesztve is elhelyezhető. A lámpatestben a LED fényforrás nem cserélhető és nem alkalmas kiemelő világításra. A lámpa energiaosztálya: E</t>
        </is>
      </c>
    </row>
    <row r="650">
      <c r="A650" s="3" t="inlineStr">
        <is>
          <t>RCC 18 LED/BK</t>
        </is>
      </c>
      <c r="B650" s="2" t="inlineStr">
        <is>
          <t>Home RCC 18 LED/BK LED fali és mennyezeti lámpa, 18 W, 2000 lm, IP65, 4000 K, kerek, fekete</t>
        </is>
      </c>
      <c r="C650" s="1" t="n">
        <v>2490.0</v>
      </c>
      <c r="D650" s="7" t="n">
        <f>HYPERLINK("https://www.somogyi.hu/product/home-rcc-18-led-bk-led-fali-es-mennyezeti-lampa-18-w-2000-lm-ip65-4000-k-kerek-fekete-rcc-18-led-bk-18204","https://www.somogyi.hu/product/home-rcc-18-led-bk-led-fali-es-mennyezeti-lampa-18-w-2000-lm-ip65-4000-k-kerek-fekete-rcc-18-led-bk-18204")</f>
        <v>0.0</v>
      </c>
      <c r="E650" s="7" t="n">
        <f>HYPERLINK("https://www.somogyi.hu/data/img/product_main_images/small/18204.jpg","https://www.somogyi.hu/data/img/product_main_images/small/18204.jpg")</f>
        <v>0.0</v>
      </c>
      <c r="F650" s="2" t="inlineStr">
        <is>
          <t>5999084962265</t>
        </is>
      </c>
      <c r="G650" s="4" t="inlineStr">
        <is>
          <t>Keres egy megbízható világítási megoldást? A Home RCC 18 LED/BK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LED/BK lámpával, és élvezze a tartós, energiatakarékos világítást!</t>
        </is>
      </c>
    </row>
    <row r="651">
      <c r="A651" s="3" t="inlineStr">
        <is>
          <t>RCC 18 LED/WH</t>
        </is>
      </c>
      <c r="B651" s="2" t="inlineStr">
        <is>
          <t>Home RCC 18 LED/WH LED fali és mennyezeti lámpa, 18 W, 2000 lm, IP65, 4000 K, kerek, fehér</t>
        </is>
      </c>
      <c r="C651" s="1" t="n">
        <v>2490.0</v>
      </c>
      <c r="D651" s="7" t="n">
        <f>HYPERLINK("https://www.somogyi.hu/product/home-rcc-18-led-wh-led-fali-es-mennyezeti-lampa-18-w-2000-lm-ip65-4000-k-kerek-feher-rcc-18-led-wh-18205","https://www.somogyi.hu/product/home-rcc-18-led-wh-led-fali-es-mennyezeti-lampa-18-w-2000-lm-ip65-4000-k-kerek-feher-rcc-18-led-wh-18205")</f>
        <v>0.0</v>
      </c>
      <c r="E651" s="7" t="n">
        <f>HYPERLINK("https://www.somogyi.hu/data/img/product_main_images/small/18205.jpg","https://www.somogyi.hu/data/img/product_main_images/small/18205.jpg")</f>
        <v>0.0</v>
      </c>
      <c r="F651" s="2" t="inlineStr">
        <is>
          <t>5999084962272</t>
        </is>
      </c>
      <c r="G651" s="4" t="inlineStr">
        <is>
          <t>Keres egy megbízható világítási megoldást? A Home RCC 18 LED/WH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LED/WH lámpával, és élvezze a tartós, energiatakarékos világítást!</t>
        </is>
      </c>
    </row>
    <row r="652">
      <c r="A652" s="3" t="inlineStr">
        <is>
          <t>RCO 18 LED/WH</t>
        </is>
      </c>
      <c r="B652" s="2" t="inlineStr">
        <is>
          <t>Home RCO 18 LED/WH LED fali és mennyezeti lámpa, 18 W, 2000 lm, IP65, 4000 K, ovális, fehér</t>
        </is>
      </c>
      <c r="C652" s="1" t="n">
        <v>2390.0</v>
      </c>
      <c r="D652" s="7" t="n">
        <f>HYPERLINK("https://www.somogyi.hu/product/home-rco-18-led-wh-led-fali-es-mennyezeti-lampa-18-w-2000-lm-ip65-4000-k-ovalis-feher-rco-18-led-wh-18203","https://www.somogyi.hu/product/home-rco-18-led-wh-led-fali-es-mennyezeti-lampa-18-w-2000-lm-ip65-4000-k-ovalis-feher-rco-18-led-wh-18203")</f>
        <v>0.0</v>
      </c>
      <c r="E652" s="7" t="n">
        <f>HYPERLINK("https://www.somogyi.hu/data/img/product_main_images/small/18203.jpg","https://www.somogyi.hu/data/img/product_main_images/small/18203.jpg")</f>
        <v>0.0</v>
      </c>
      <c r="F652" s="2" t="inlineStr">
        <is>
          <t>5999084962258</t>
        </is>
      </c>
      <c r="G652" s="4" t="inlineStr">
        <is>
          <t>Egy erős és vízálló lámpát keres, ami bármilyen időjárási körülmények között bevethető? Akkor a HOME RCO 18 LED/WH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fehér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LED/WH lámpát, és élvezd a hatékony és strapabíró világítást minden körülmények között!</t>
        </is>
      </c>
    </row>
    <row r="653">
      <c r="A653" s="6" t="inlineStr">
        <is>
          <t xml:space="preserve">   Világítás / LED reflektor</t>
        </is>
      </c>
      <c r="B653" s="6" t="inlineStr">
        <is>
          <t/>
        </is>
      </c>
      <c r="C653" s="6" t="inlineStr">
        <is>
          <t/>
        </is>
      </c>
      <c r="D653" s="6" t="inlineStr">
        <is>
          <t/>
        </is>
      </c>
      <c r="E653" s="6" t="inlineStr">
        <is>
          <t/>
        </is>
      </c>
      <c r="F653" s="6" t="inlineStr">
        <is>
          <t/>
        </is>
      </c>
      <c r="G653" s="6" t="inlineStr">
        <is>
          <t/>
        </is>
      </c>
    </row>
    <row r="654">
      <c r="A654" s="3" t="inlineStr">
        <is>
          <t>FLL PIR 30</t>
        </is>
      </c>
      <c r="B654" s="2" t="inlineStr">
        <is>
          <t>Home FLL PIR 30 LED fényvető, PIR mozgásérzékelő, 140°, 30 W, 2400 lm,</t>
        </is>
      </c>
      <c r="C654" s="1" t="n">
        <v>6990.0</v>
      </c>
      <c r="D654" s="7" t="n">
        <f>HYPERLINK("https://www.somogyi.hu/product/home-fll-pir-30-led-fenyveto-pir-mozgaserzekelo-140-30-w-2400-lm-fll-pir-30-17885","https://www.somogyi.hu/product/home-fll-pir-30-led-fenyveto-pir-mozgaserzekelo-140-30-w-2400-lm-fll-pir-30-17885")</f>
        <v>0.0</v>
      </c>
      <c r="E654" s="7" t="n">
        <f>HYPERLINK("https://www.somogyi.hu/data/img/product_main_images/small/17885.jpg","https://www.somogyi.hu/data/img/product_main_images/small/17885.jpg")</f>
        <v>0.0</v>
      </c>
      <c r="F654" s="2" t="inlineStr">
        <is>
          <t>5999084959074</t>
        </is>
      </c>
      <c r="G654" s="4" t="inlineStr">
        <is>
          <t>Mozgásérzékelős, LED-es, falra szerelhető kül- és beltéren egyaránt használható, 30 W teljesítményű FLL PIR 30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55">
      <c r="A655" s="3" t="inlineStr">
        <is>
          <t>FLL PIR 50</t>
        </is>
      </c>
      <c r="B655" s="2" t="inlineStr">
        <is>
          <t>Home FLL PIR 50 LED fényvető, PIR mozgásérzékelő, 140°, 50 W, 4000 lm,</t>
        </is>
      </c>
      <c r="C655" s="1" t="n">
        <v>8990.0</v>
      </c>
      <c r="D655" s="7" t="n">
        <f>HYPERLINK("https://www.somogyi.hu/product/home-fll-pir-50-led-fenyveto-pir-mozgaserzekelo-140-50-w-4000-lm-fll-pir-50-17886","https://www.somogyi.hu/product/home-fll-pir-50-led-fenyveto-pir-mozgaserzekelo-140-50-w-4000-lm-fll-pir-50-17886")</f>
        <v>0.0</v>
      </c>
      <c r="E655" s="7" t="n">
        <f>HYPERLINK("https://www.somogyi.hu/data/img/product_main_images/small/17886.jpg","https://www.somogyi.hu/data/img/product_main_images/small/17886.jpg")</f>
        <v>0.0</v>
      </c>
      <c r="F655" s="2" t="inlineStr">
        <is>
          <t>5999084959081</t>
        </is>
      </c>
      <c r="G655" s="4" t="inlineStr">
        <is>
          <t>Mozgásérzékelős, falra szerelhető kül- és beltéren egyaránt használható, 50 W teljesítményű FLL PIR 50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56">
      <c r="A656" s="3" t="inlineStr">
        <is>
          <t>JSL 3300</t>
        </is>
      </c>
      <c r="B656" s="2" t="inlineStr">
        <is>
          <t>Home JSL 3300 munkalámpa 3300 lm, IP65, 4400 mAh, PowerBank, USB-C töltőkábel, ~4,5 óra üzemidő</t>
        </is>
      </c>
      <c r="C656" s="1" t="n">
        <v>28790.0</v>
      </c>
      <c r="D656" s="7" t="n">
        <f>HYPERLINK("https://www.somogyi.hu/product/home-jsl-3300-munkalampa-3300-lm-ip65-4400-mah-powerbank-usb-c-toltokabel-4-5-ora-uzemido-jsl-3300-17770","https://www.somogyi.hu/product/home-jsl-3300-munkalampa-3300-lm-ip65-4400-mah-powerbank-usb-c-toltokabel-4-5-ora-uzemido-jsl-3300-17770")</f>
        <v>0.0</v>
      </c>
      <c r="E656" s="7" t="n">
        <f>HYPERLINK("https://www.somogyi.hu/data/img/product_main_images/small/17770.jpg","https://www.somogyi.hu/data/img/product_main_images/small/17770.jpg")</f>
        <v>0.0</v>
      </c>
      <c r="F656" s="2" t="inlineStr">
        <is>
          <t>5999084957926</t>
        </is>
      </c>
      <c r="G656" s="4" t="inlineStr">
        <is>
          <t xml:space="preserve"> • színe: sárga / fekete 
 • teljesítmény: max. 30 W 
 • hordozható: igen 
 • fényforrás típusa: COB LED 
 • fényforrások száma: 2 x 15 W COB LED 
 • fényerő: max. 3300 lumen, min. 825 lumen 
 • színhőmérséklet: 5000 K 
 • IP védettségi fokozat: IP44 
 • tápkábel hossza: töltőkábel hossza: 100 cm 
 • tápellátás: beépített Li-ion 18650 mAh akkumulátor, 7,4 V , 4400 mAh 
 • működési idő: üzemidő: 2,5 - 4,5 óra / töltési idő: 6 óra (töltés közben is világít) 
 • méret: befoglaló méretek: 10 x 12,5 x 47,1 cm becsukva / 10 x 12,5 x 68,5 cm kinyitva 
 • tömeg: 1,1 kg 
 • egyéb információ: változatosan beállítható világító felületek / mágnesesen rögzíthető, felakasztható, hordozható / PowerBank-ként is használható / tartozék USB-USB C töltőkábel</t>
        </is>
      </c>
    </row>
    <row r="657">
      <c r="A657" s="3" t="inlineStr">
        <is>
          <t>FLL STAND 2/30</t>
        </is>
      </c>
      <c r="B657" s="2" t="inlineStr">
        <is>
          <t>Home FLL STAND 2/30 állványos LED fényvető, 0,8 - 1,7 m, 2 x 30 W, 2 x 2400 lm, kül- és beltéri</t>
        </is>
      </c>
      <c r="C657" s="1" t="n">
        <v>25890.0</v>
      </c>
      <c r="D657" s="7" t="n">
        <f>HYPERLINK("https://www.somogyi.hu/product/home-fll-stand-2-30-allvanyos-led-fenyveto-0-8-1-7-m-2-x-30-w-2-x-2400-lm-kul-es-belteri-fll-stand-2-30-17887","https://www.somogyi.hu/product/home-fll-stand-2-30-allvanyos-led-fenyveto-0-8-1-7-m-2-x-30-w-2-x-2400-lm-kul-es-belteri-fll-stand-2-30-17887")</f>
        <v>0.0</v>
      </c>
      <c r="E657" s="7" t="n">
        <f>HYPERLINK("https://www.somogyi.hu/data/img/product_main_images/small/17887.jpg","https://www.somogyi.hu/data/img/product_main_images/small/17887.jpg")</f>
        <v>0.0</v>
      </c>
      <c r="F657" s="2" t="inlineStr">
        <is>
          <t>5999084959098</t>
        </is>
      </c>
      <c r="G657" s="4" t="inlineStr">
        <is>
          <t>Állványos, LED-es, hordozható FLL STAND 2/30 fényvető kül és beltéren egyaránt használható. A felszerelt 2 db egyenként 30 W teljesítményű LED fényforrás 4000 lumen erősségben világít. A termék csatlakozóvezetéke 2,1 méter hosszú, amit az állványon található kábeltartóra feltekerhető. Optimális építési, felújítási munkaterületek és megfelelő megvilágítást igénylő hobbitevékenységek megvilágítására. Összeszerelése rendkívül gyors és egyszerű.</t>
        </is>
      </c>
    </row>
    <row r="658">
      <c r="A658" s="3" t="inlineStr">
        <is>
          <t>FLL H 20</t>
        </is>
      </c>
      <c r="B658" s="2" t="inlineStr">
        <is>
          <t>Home FLL H 20 hordozható LED fényvető, 20 W, 1600 lm, összecsukható, állítható dőlésszög</t>
        </is>
      </c>
      <c r="C658" s="1" t="n">
        <v>10690.0</v>
      </c>
      <c r="D658" s="7" t="n">
        <f>HYPERLINK("https://www.somogyi.hu/product/home-fll-h-20-hordozhato-led-fenyveto-20-w-1600-lm-osszecsukhato-allithato-dolesszog-fll-h-20-17888","https://www.somogyi.hu/product/home-fll-h-20-hordozhato-led-fenyveto-20-w-1600-lm-osszecsukhato-allithato-dolesszog-fll-h-20-17888")</f>
        <v>0.0</v>
      </c>
      <c r="E658" s="7" t="n">
        <f>HYPERLINK("https://www.somogyi.hu/data/img/product_main_images/small/17888.jpg","https://www.somogyi.hu/data/img/product_main_images/small/17888.jpg")</f>
        <v>0.0</v>
      </c>
      <c r="F658" s="2" t="inlineStr">
        <is>
          <t>5999084959104</t>
        </is>
      </c>
      <c r="G658" s="4" t="inlineStr">
        <is>
          <t>Hordozható, összecsukható hordkeretű, LED-es, kül- és beltéren egyaránt használható FLL H 20 fényvető nélkülözhetetlen a felújítási munkálatok során. Dőlésszöge állítható, így nem marad egyetlen sarok sem megvilágítatlanul. A fényvető mérete kinyitva 213x195x154 mm, teljesítménye 20 W, csatlakozóvezetékének hossza 1,5 méter. Fontos megjegyeznünk, hogy a lámpatestben a LED fényforrás nem cserélhető és a lámpa nem alkalmas kiemelő világításra.</t>
        </is>
      </c>
    </row>
    <row r="659">
      <c r="A659" s="3" t="inlineStr">
        <is>
          <t>FLL H 50</t>
        </is>
      </c>
      <c r="B659" s="2" t="inlineStr">
        <is>
          <t>Home FLL H 50 hordozható LED fényvető, 50 W, 4000 lm, összecsukható, állítható dőlésszög</t>
        </is>
      </c>
      <c r="C659" s="1" t="n">
        <v>14690.0</v>
      </c>
      <c r="D659" s="7" t="n">
        <f>HYPERLINK("https://www.somogyi.hu/product/home-fll-h-50-hordozhato-led-fenyveto-50-w-4000-lm-osszecsukhato-allithato-dolesszog-fll-h-50-17889","https://www.somogyi.hu/product/home-fll-h-50-hordozhato-led-fenyveto-50-w-4000-lm-osszecsukhato-allithato-dolesszog-fll-h-50-17889")</f>
        <v>0.0</v>
      </c>
      <c r="E659" s="7" t="n">
        <f>HYPERLINK("https://www.somogyi.hu/data/img/product_main_images/small/17889.jpg","https://www.somogyi.hu/data/img/product_main_images/small/17889.jpg")</f>
        <v>0.0</v>
      </c>
      <c r="F659" s="2" t="inlineStr">
        <is>
          <t>5999084959111</t>
        </is>
      </c>
      <c r="G659" s="4" t="inlineStr">
        <is>
          <t>Hordozható, összecsukható hordkeretű, kül- és beltéren egyaránt használható FLL H 50 fényvető nélkülözhetetlen a felújítási munkálatok során. Dőlésszöge állítható, így nem marad egyetlen sarok sem megvilágítatlanul. A fényvető mérete kinyitva 265x245x184 mm, teljesítménye 50 W, csatlakozóvezetékének hossza 1,5 méter. Fontos megjegyeznünk, hogy a lámpatestben a LED fényforrás nem cserélhető és a lámpa nem alkalmas kiemelő világításra.</t>
        </is>
      </c>
    </row>
    <row r="660">
      <c r="A660" s="3" t="inlineStr">
        <is>
          <t>FLP 1SOLAR</t>
        </is>
      </c>
      <c r="B660" s="2" t="inlineStr">
        <is>
          <t>Home FLP 1SOLAR napelemes LED lámpa, 100° mozgásérzékelő, időjárásálló, 0,8 W, 35 lm, 6000 K</t>
        </is>
      </c>
      <c r="C660" s="1" t="n">
        <v>4890.0</v>
      </c>
      <c r="D660" s="7" t="n">
        <f>HYPERLINK("https://www.somogyi.hu/product/home-flp-1solar-napelemes-led-lampa-100-mozgaserzekelo-idojarasallo-0-8-w-35-lm-6000-k-flp-1solar-15491","https://www.somogyi.hu/product/home-flp-1solar-napelemes-led-lampa-100-mozgaserzekelo-idojarasallo-0-8-w-35-lm-6000-k-flp-1solar-15491")</f>
        <v>0.0</v>
      </c>
      <c r="E660" s="7" t="n">
        <f>HYPERLINK("https://www.somogyi.hu/data/img/product_main_images/small/15491.jpg","https://www.somogyi.hu/data/img/product_main_images/small/15491.jpg")</f>
        <v>0.0</v>
      </c>
      <c r="F660" s="2" t="inlineStr">
        <is>
          <t>5999084935252</t>
        </is>
      </c>
      <c r="G660" s="4" t="inlineStr">
        <is>
          <t>Világítsa meg éjszakára otthonának külterét! Ebben lesz segítségére az FLP 1 SOLAR LED-es lámpa, amely mozgásérzékelővel is rendelkezik. A készülék bátran alkalmazható a kinti környezetben, hiszen az időjárásnak ellenálló kivitelben készült. 
Napelemes tápellátású, sötétben energiatakarékosan világít (50%), mely fényerőt a mozgás érzékelésekor 100%-ra növeli. Válassza a minőségi termékeket és rendeljen webáruházunkból!</t>
        </is>
      </c>
    </row>
    <row r="661">
      <c r="A661" s="3" t="inlineStr">
        <is>
          <t>FLP 1600 SOLAR</t>
        </is>
      </c>
      <c r="B661" s="2" t="inlineStr">
        <is>
          <t>Home FLP 1600 SOLAR, szolárpaneles LED reflektor, PIR mozgásérzékelő, 1600 lm, 6000 K, 5400 mAh</t>
        </is>
      </c>
      <c r="C661" s="1" t="n">
        <v>28190.0</v>
      </c>
      <c r="D661" s="7" t="n">
        <f>HYPERLINK("https://www.somogyi.hu/product/home-flp-1600-solar-szolarpaneles-led-reflektor-pir-mozgaserzekelo-1600-lm-6000-k-5400-mah-flp-1600-solar-17129","https://www.somogyi.hu/product/home-flp-1600-solar-szolarpaneles-led-reflektor-pir-mozgaserzekelo-1600-lm-6000-k-5400-mah-flp-1600-solar-17129")</f>
        <v>0.0</v>
      </c>
      <c r="E661" s="7" t="n">
        <f>HYPERLINK("https://www.somogyi.hu/data/img/product_main_images/small/17129.jpg","https://www.somogyi.hu/data/img/product_main_images/small/17129.jpg")</f>
        <v>0.0</v>
      </c>
      <c r="F661" s="2" t="inlineStr">
        <is>
          <t>5999084951610</t>
        </is>
      </c>
      <c r="G661" s="4" t="inlineStr">
        <is>
          <t>Az FLP 1600 SOLAR LED reflektor számos helyre felhelyezhető, így az olyan helyeken is lehet világítása, ahol nincs a vezeték kiépítve. Rögzíthető falra vagy akár póznára is, de szerelési munkálatokhoz is kiválóan alkalmas, mivel bárhová magával viheti. A LED reflektor 9,5 Wp monokristályos szilikon szolár panellel ellátott, így a beépített Lithium akkumulátort könnyedén feltölti a nap sugarai segítségével. A 40 db SMD 2835 LED 1600 lm fényerővel világít, melynek színhőmérséklete 6000 K. A PIR mozgásérzékelő 3-8 m hatótávolságon érzékel. További számos előnnyel rendelkezik: rendkívül hosszú működési idő, állítható dőlésszög, önszabályozó program jellemzi.
A lámpatestben a LED fényforrás nem cserélhető.</t>
        </is>
      </c>
    </row>
    <row r="662">
      <c r="A662" s="3" t="inlineStr">
        <is>
          <t>FLP 1100 SOLAR</t>
        </is>
      </c>
      <c r="B662" s="2" t="inlineStr">
        <is>
          <t>Home FLP 1100 SOLAR, szolárpaneles LED reflektor, PIR mozgásérzékelő, 1100 lm, 6000 K, 7200 mAh</t>
        </is>
      </c>
      <c r="C662" s="1" t="n">
        <v>29990.0</v>
      </c>
      <c r="D662" s="7" t="n">
        <f>HYPERLINK("https://www.somogyi.hu/product/home-flp-1100-solar-szolarpaneles-led-reflektor-pir-mozgaserzekelo-1100-lm-6000-k-7200-mah-flp-1100-solar-17128","https://www.somogyi.hu/product/home-flp-1100-solar-szolarpaneles-led-reflektor-pir-mozgaserzekelo-1100-lm-6000-k-7200-mah-flp-1100-solar-17128")</f>
        <v>0.0</v>
      </c>
      <c r="E662" s="7" t="n">
        <f>HYPERLINK("https://www.somogyi.hu/data/img/product_main_images/small/17128.jpg","https://www.somogyi.hu/data/img/product_main_images/small/17128.jpg")</f>
        <v>0.0</v>
      </c>
      <c r="F662" s="2" t="inlineStr">
        <is>
          <t>5999084951603</t>
        </is>
      </c>
      <c r="G662" s="4" t="inlineStr">
        <is>
          <t>Az FLP 1100 SOLAR LED reflektort kétoldalas nagy felületű szolár panellel ellátott, így a beépített Li-ion akkumulátort könnyedén feltölti a nap sugarai segítségével. Az 55 db SMD 2835 LED 1100 lm fényerővel világít, melynek színhőmérséklete 6000 K. A PIR mozgásérzékelő 8 m hatótávon képes működni. Több funkció közül választhat: folyamatos világítás, mozgásérzékelés vagy kombinált mód.
A lámpatestben a LED fényforrás nem cserélhető.</t>
        </is>
      </c>
    </row>
    <row r="663">
      <c r="A663" s="3" t="inlineStr">
        <is>
          <t>FLP 1000 SOLAR</t>
        </is>
      </c>
      <c r="B663" s="2" t="inlineStr">
        <is>
          <t>Home FLP 1000 SOLAR, szolárpaneles LED reflektor, PIR mozgásérzékelő, 1000 lm, 6000 K, 7200 mAh</t>
        </is>
      </c>
      <c r="C663" s="1" t="n">
        <v>26890.0</v>
      </c>
      <c r="D663" s="7" t="n">
        <f>HYPERLINK("https://www.somogyi.hu/product/home-flp-1000-solar-szolarpaneles-led-reflektor-pir-mozgaserzekelo-1000-lm-6000-k-7200-mah-flp-1000-solar-16709","https://www.somogyi.hu/product/home-flp-1000-solar-szolarpaneles-led-reflektor-pir-mozgaserzekelo-1000-lm-6000-k-7200-mah-flp-1000-solar-16709")</f>
        <v>0.0</v>
      </c>
      <c r="E663" s="7" t="n">
        <f>HYPERLINK("https://www.somogyi.hu/data/img/product_main_images/small/16709.jpg","https://www.somogyi.hu/data/img/product_main_images/small/16709.jpg")</f>
        <v>0.0</v>
      </c>
      <c r="F663" s="2" t="inlineStr">
        <is>
          <t>5999084947415</t>
        </is>
      </c>
      <c r="G663" s="4" t="inlineStr">
        <is>
          <t>Az FLP 1000 SOLAR LED reflektort nagy felületű szolár panellel ellátott, így a beépített Li-ion akkumulátort könnyedén feltölti a nap sugarai segítségével. A 60 db SMD 2835 LED 1000 lm fényerővel világít, melynek színhőmérséklete 6000 K. A PIR mozgásérzékelő 8 m hatótávon képes működni. Több  funkció közül választhat: mozgás és/vagy fényérzékelés, valamint folyamatos világítás mód.
A lámpatestben a LED fényforrás nem cserélhető.</t>
        </is>
      </c>
    </row>
    <row r="664">
      <c r="A664" s="3" t="inlineStr">
        <is>
          <t>FLP 500 SOLAR</t>
        </is>
      </c>
      <c r="B664" s="2" t="inlineStr">
        <is>
          <t>Home FLP 500 SOLAR, szolárpaneles LED reflektor, PIR mozgásérzékelő, 500 lm, 6000 K, 3000 mAh</t>
        </is>
      </c>
      <c r="C664" s="1" t="n">
        <v>11790.0</v>
      </c>
      <c r="D664" s="7" t="n">
        <f>HYPERLINK("https://www.somogyi.hu/product/home-flp-500-solar-szolarpaneles-led-reflektor-pir-mozgaserzekelo-500-lm-6000-k-3000-mah-flp-500-solar-16708","https://www.somogyi.hu/product/home-flp-500-solar-szolarpaneles-led-reflektor-pir-mozgaserzekelo-500-lm-6000-k-3000-mah-flp-500-solar-16708")</f>
        <v>0.0</v>
      </c>
      <c r="E664" s="7" t="n">
        <f>HYPERLINK("https://www.somogyi.hu/data/img/product_main_images/small/16708.jpg","https://www.somogyi.hu/data/img/product_main_images/small/16708.jpg")</f>
        <v>0.0</v>
      </c>
      <c r="F664" s="2" t="inlineStr">
        <is>
          <t>5999084947408</t>
        </is>
      </c>
      <c r="G664" s="4" t="inlineStr">
        <is>
          <t>Az FLP 500 SOLAR LED reflektort nagy felületű szolár panellel ellátott, így a beépített Li-ion akkumulátort könnyedén feltölti a nap sugarai segítségével. A 30 db SMD 2835 LED 500 lm fényerővel világít, melynek színhőmérséklete 6000 K. A PIR mozgásérzékelő 6 m hatótávon képes működni. Több funkció közül választhat: mozgás és/vagy fényérzékelés, valamint folyamatos világítás mód.
A lámpatestben a LED fényforrás nem cserélhető.</t>
        </is>
      </c>
    </row>
    <row r="665">
      <c r="A665" s="3" t="inlineStr">
        <is>
          <t>FLB 20C</t>
        </is>
      </c>
      <c r="B665" s="2" t="inlineStr">
        <is>
          <t>Home FLB 20C újratölthető COB LED fényvető, 20 W, 750 lm - 3,5 óra, 1600 lm - 2 óra, 5400 mAh</t>
        </is>
      </c>
      <c r="C665" s="1" t="n">
        <v>9990.0</v>
      </c>
      <c r="D665" s="7" t="n">
        <f>HYPERLINK("https://www.somogyi.hu/product/home-flb-20c-ujratoltheto-cob-led-fenyveto-20-w-750-lm-3-5-ora-1600-lm-2-ora-5400-mah-flb-20c-17284","https://www.somogyi.hu/product/home-flb-20c-ujratoltheto-cob-led-fenyveto-20-w-750-lm-3-5-ora-1600-lm-2-ora-5400-mah-flb-20c-17284")</f>
        <v>0.0</v>
      </c>
      <c r="E665" s="7" t="n">
        <f>HYPERLINK("https://www.somogyi.hu/data/img/product_main_images/small/17284.jpg","https://www.somogyi.hu/data/img/product_main_images/small/17284.jpg")</f>
        <v>0.0</v>
      </c>
      <c r="F665" s="2" t="inlineStr">
        <is>
          <t>5999084953065</t>
        </is>
      </c>
      <c r="G665" s="4" t="inlineStr">
        <is>
          <t>Az újratölthető COB LED-es fényvető, változatosan beállítható, hordozható, letámasztható, felakasztható. A COB LED fényforrás teljesítménye 20 W, a lámpatestben a LED fényforrás nem cserélhető.
Töltésére 2540 Ah Li-ion akkumulátor szolgál, tartozékként 100 cm –es micro-USB töltőkábellel.
A többféle állítási lehetőségeinek és nagy teljesítményének köszönhetően széles az alkalmazási területe: kinti és benti szerelések, szakmunkák során, autószerelő műhelyekben is szívesen alkalmazzák.</t>
        </is>
      </c>
    </row>
    <row r="666">
      <c r="A666" s="3" t="inlineStr">
        <is>
          <t>FLP 5 SOLAR</t>
        </is>
      </c>
      <c r="B666" s="2" t="inlineStr">
        <is>
          <t>Home FLP 5 SOLAR, szolárpaneles LED reflektor, PIR mozgásérzékelő, 500 lm, forgatható reflektorok, 1500 mAh, ~60 perc üzemidő</t>
        </is>
      </c>
      <c r="C666" s="1" t="n">
        <v>15090.0</v>
      </c>
      <c r="D666" s="7" t="n">
        <f>HYPERLINK("https://www.somogyi.hu/product/home-flp-5-solar-szolarpaneles-led-reflektor-pir-mozgaserzekelo-500-lm-forgathato-reflektorok-1500-mah-60-perc-uzemido-flp-5-solar-16204","https://www.somogyi.hu/product/home-flp-5-solar-szolarpaneles-led-reflektor-pir-mozgaserzekelo-500-lm-forgathato-reflektorok-1500-mah-60-perc-uzemido-flp-5-solar-16204")</f>
        <v>0.0</v>
      </c>
      <c r="E666" s="7" t="n">
        <f>HYPERLINK("https://www.somogyi.hu/data/img/product_main_images/small/16204.jpg","https://www.somogyi.hu/data/img/product_main_images/small/16204.jpg")</f>
        <v>0.0</v>
      </c>
      <c r="F666" s="2" t="inlineStr">
        <is>
          <t>5999084942366</t>
        </is>
      </c>
      <c r="G666" s="4" t="inlineStr">
        <is>
          <t>Az szolár paneles LED reflektor PIR mozgásérzékelővel ellátott, így a beépített cserélhető Li-ion akkumulátort könnyedén feltölti a nap sugarai segítségével.
A 56 db SMD 2835 LED 500 lm fényerővel világít, melynek színhőmérséklete 6000 K.
 A PIR mozgásérzékelő 8 m hatótávon képes működni. 
A készüléken nappali és éjszakai üzemmódban állítható a fényérzékenység és a világítási idő.
A lámpatestben a LED fényforrás nem cserélhető.
Több funkció közül választhat: mozgás és/vagy fényérzékelés, valamint folyamatos világítás mód.</t>
        </is>
      </c>
    </row>
    <row r="667">
      <c r="A667" s="3" t="inlineStr">
        <is>
          <t>FLB 20</t>
        </is>
      </c>
      <c r="B667" s="2" t="inlineStr">
        <is>
          <t>Home FLB 20 újratölthető LED fényvető, 20 W, 1600 lm - 4 óra, 2200 mAh</t>
        </is>
      </c>
      <c r="C667" s="1" t="n">
        <v>16990.0</v>
      </c>
      <c r="D667" s="7" t="n">
        <f>HYPERLINK("https://www.somogyi.hu/product/home-flb-20-ujratoltheto-led-fenyveto-20-w-1600-lm-4-ora-2200-mah-flb-20-17124","https://www.somogyi.hu/product/home-flb-20-ujratoltheto-led-fenyveto-20-w-1600-lm-4-ora-2200-mah-flb-20-17124")</f>
        <v>0.0</v>
      </c>
      <c r="E667" s="7" t="n">
        <f>HYPERLINK("https://www.somogyi.hu/data/img/product_main_images/small/17124.jpg","https://www.somogyi.hu/data/img/product_main_images/small/17124.jpg")</f>
        <v>0.0</v>
      </c>
      <c r="F667" s="2" t="inlineStr">
        <is>
          <t>5999084951566</t>
        </is>
      </c>
      <c r="G667" s="4" t="inlineStr">
        <is>
          <t>Az újratölthető LED-es fényvető egy hordozható, változatosan beállítható, amely kül- és beltéren egyaránt használható.
Az állvány gumírozott talpai biztosítják a csúszásmentes alkalmazást. A keret oldalirányú elforgatására és a szögben levő elfordításra a két állítócsavar szolgál, így legpontosabban pozícionálhatjuk a fény irányát.
A COB LED fényforrás teljesítménye 20 W, a lámpatestben a LED fényforrás nem cserélhető. 
Töltésére 2200 mAh –ás beépített 2x Li-ion akkumulátor szolgál, tartozékként hálózati adaptert, szivargyújtó adaptert, 90 cm –es micro-USB töltőkábelt is kapunk.
A többféle üzemmódban működtethető, a változatos állítási lehetőségeinek köszönhetően széles az alkalmazzák: szerelések, szakmunkák során, autószerelő műhelyekben.</t>
        </is>
      </c>
    </row>
    <row r="668">
      <c r="A668" s="3" t="inlineStr">
        <is>
          <t>FLL 30</t>
        </is>
      </c>
      <c r="B668" s="2" t="inlineStr">
        <is>
          <t>Home FLL 50 LED fényvető, 30 W, 2400 lm</t>
        </is>
      </c>
      <c r="C668" s="1" t="n">
        <v>4590.0</v>
      </c>
      <c r="D668" s="7" t="n">
        <f>HYPERLINK("https://www.somogyi.hu/product/home-fll-50-led-fenyveto-30-w-2400-lm-fll-30-17881","https://www.somogyi.hu/product/home-fll-50-led-fenyveto-30-w-2400-lm-fll-30-17881")</f>
        <v>0.0</v>
      </c>
      <c r="E668" s="7" t="n">
        <f>HYPERLINK("https://www.somogyi.hu/data/img/product_main_images/small/17881.jpg","https://www.somogyi.hu/data/img/product_main_images/small/17881.jpg")</f>
        <v>0.0</v>
      </c>
      <c r="F668" s="2" t="inlineStr">
        <is>
          <t>5999084959036</t>
        </is>
      </c>
      <c r="G668" s="4" t="inlineStr">
        <is>
          <t>Falra szerelhető, LED-es, kül és beltéren egyaránt használható FLL 30 fényvető tökéletes melléképületek, garázsok, hétvégi házak bejáratának megvilágítására. Vízmentes bekötő dobozzal rendelkezik, így felszerelése és használata abszolút biztonságos. A termék 145x145x90 mm méretű, 30 W teljesítményű. Fontos megjegyeznünk, hogy a lámpatestben a LED fényforrás nem cserélhető és a lámpa nem alkalmas kiemelő világításra.</t>
        </is>
      </c>
    </row>
    <row r="669">
      <c r="A669" s="3" t="inlineStr">
        <is>
          <t>FLL 20</t>
        </is>
      </c>
      <c r="B669" s="2" t="inlineStr">
        <is>
          <t>Home FLL 20 LED fényvető, 20 W, 1600 lm</t>
        </is>
      </c>
      <c r="C669" s="1" t="n">
        <v>3090.0</v>
      </c>
      <c r="D669" s="7" t="n">
        <f>HYPERLINK("https://www.somogyi.hu/product/home-fll-20-led-fenyveto-20-w-1600-lm-fll-20-17880","https://www.somogyi.hu/product/home-fll-20-led-fenyveto-20-w-1600-lm-fll-20-17880")</f>
        <v>0.0</v>
      </c>
      <c r="E669" s="7" t="n">
        <f>HYPERLINK("https://www.somogyi.hu/data/img/product_main_images/small/17880.jpg","https://www.somogyi.hu/data/img/product_main_images/small/17880.jpg")</f>
        <v>0.0</v>
      </c>
      <c r="F669" s="2" t="inlineStr">
        <is>
          <t>5999084959029</t>
        </is>
      </c>
      <c r="G669" s="4" t="inlineStr">
        <is>
          <t>Falra szerelhető, LED-es, kül és beltéren egyaránt használható FLL 20 fényvető tökéletes melléképületek, garázsok, hétvégi házak bejáratának megvilágítására. Vízmentes bekötő dobozzal rendelkezik, így felszerelése és használata abszolút biztonságos. A termék 122x122x90 mm méretű, 20 W teljesítményű. Fontos megjegyeznünk, hogy a lámpatestben a LED fényforrás nem cserélhető és a lámpa nem alkalmas kiemelő világításra.</t>
        </is>
      </c>
    </row>
    <row r="670">
      <c r="A670" s="3" t="inlineStr">
        <is>
          <t>FLL 10</t>
        </is>
      </c>
      <c r="B670" s="2" t="inlineStr">
        <is>
          <t>Home FLL 10 LED fényvető, 10 W, 800 lm</t>
        </is>
      </c>
      <c r="C670" s="1" t="n">
        <v>2790.0</v>
      </c>
      <c r="D670" s="7" t="n">
        <f>HYPERLINK("https://www.somogyi.hu/product/home-fll-10-led-fenyveto-10-w-800-lm-fll-10-17879","https://www.somogyi.hu/product/home-fll-10-led-fenyveto-10-w-800-lm-fll-10-17879")</f>
        <v>0.0</v>
      </c>
      <c r="E670" s="7" t="n">
        <f>HYPERLINK("https://www.somogyi.hu/data/img/product_main_images/small/17879.jpg","https://www.somogyi.hu/data/img/product_main_images/small/17879.jpg")</f>
        <v>0.0</v>
      </c>
      <c r="F670" s="2" t="inlineStr">
        <is>
          <t>5999084959012</t>
        </is>
      </c>
      <c r="G670" s="4" t="inlineStr">
        <is>
          <t>Falra szerelhető, LED-es, kül és beltéren egyaránt használható FLL 10 fényvető tökéletes melléképületek, garázsok, hétvégi házak bejáratának megvilágítására. Vízmentes bekötő dobozzal rendelkezik, így felszerelése és használata abszolút biztonságos. A termék 110x110x90 mm méretű, 10 W teljesítményű. Fontos megjegyeznünk, hogy a lámpatestben a LED fényforrás nem cserélhető és a lámpa nem alkalmas kiemelő világításra.</t>
        </is>
      </c>
    </row>
    <row r="671">
      <c r="A671" s="3" t="inlineStr">
        <is>
          <t>FLL 50</t>
        </is>
      </c>
      <c r="B671" s="2" t="inlineStr">
        <is>
          <t>Home FLL 50 LED fényvető, 50 W, 4000 lm</t>
        </is>
      </c>
      <c r="C671" s="1" t="n">
        <v>5790.0</v>
      </c>
      <c r="D671" s="7" t="n">
        <f>HYPERLINK("https://www.somogyi.hu/product/home-fll-50-led-fenyveto-50-w-4000-lm-fll-50-17882","https://www.somogyi.hu/product/home-fll-50-led-fenyveto-50-w-4000-lm-fll-50-17882")</f>
        <v>0.0</v>
      </c>
      <c r="E671" s="7" t="n">
        <f>HYPERLINK("https://www.somogyi.hu/data/img/product_main_images/small/17882.jpg","https://www.somogyi.hu/data/img/product_main_images/small/17882.jpg")</f>
        <v>0.0</v>
      </c>
      <c r="F671" s="2" t="inlineStr">
        <is>
          <t>5999084959043</t>
        </is>
      </c>
      <c r="G671" s="4" t="inlineStr">
        <is>
          <t>Falra szerelhető, kül és beltéren egyaránt használható FLL 50 fényvető tökéletes melléképületek, garázsok, hétvégi házak bejáratának megvilágítására. Vízmentes bekötő dobozzal rendelkezik, így felszerelése és használata abszolút biztonságos. A termék 188x160x115 mm méretű, 50 W teljesítményű. Fontos megjegyeznünk, hogy a lámpatestben a LED fényforrás nem cserélhető és a lámpa nem alkalmas kiemelő világításra.</t>
        </is>
      </c>
    </row>
    <row r="672">
      <c r="A672" s="3" t="inlineStr">
        <is>
          <t>FLL 100</t>
        </is>
      </c>
      <c r="B672" s="2" t="inlineStr">
        <is>
          <t>Home FLL 100 LED fényvető, 100 W, 8200 lm</t>
        </is>
      </c>
      <c r="C672" s="1" t="n">
        <v>12190.0</v>
      </c>
      <c r="D672" s="7" t="n">
        <f>HYPERLINK("https://www.somogyi.hu/product/home-fll-100-led-fenyveto-100-w-8200-lm-fll-100-17883","https://www.somogyi.hu/product/home-fll-100-led-fenyveto-100-w-8200-lm-fll-100-17883")</f>
        <v>0.0</v>
      </c>
      <c r="E672" s="7" t="n">
        <f>HYPERLINK("https://www.somogyi.hu/data/img/product_main_images/small/17883.jpg","https://www.somogyi.hu/data/img/product_main_images/small/17883.jpg")</f>
        <v>0.0</v>
      </c>
      <c r="F672" s="2" t="inlineStr">
        <is>
          <t>5999084959050</t>
        </is>
      </c>
      <c r="G672" s="4" t="inlineStr">
        <is>
          <t>Falra szerelhető, LED-es, kül és beltéren egyaránt használható FLL 100 fényvető nem csupán melléképületek, garázsok, hétvégi házak bejáratának megvilágítására alkalmas, hanem kiváló munkaállomás fénynek is. Vízmentes bekötő dobozzal rendelkezik, így felszerelése és használata abszolút biztonságos. A termék 280x225x155 mm méretű, 100 W teljesítményű. Fontos megjegyeznünk, hogy a lámpatestben a LED fényforrás nem cserélhető és a lámpa nem alkalmas kiemelő világításra.</t>
        </is>
      </c>
    </row>
    <row r="673">
      <c r="A673" s="3" t="inlineStr">
        <is>
          <t>FLP 2/BK SOLAR</t>
        </is>
      </c>
      <c r="B673" s="2" t="inlineStr">
        <is>
          <t>Home FLP 2/BK SOLAR napelemes LED lámpa, 120° mozgásérzékelő, időjárásálló, 1,5 W, 200 lm, elöl 6000 K, hátul 3000 K</t>
        </is>
      </c>
      <c r="C673" s="1" t="n">
        <v>6290.0</v>
      </c>
      <c r="D673" s="7" t="n">
        <f>HYPERLINK("https://www.somogyi.hu/product/home-flp-2-bk-solar-napelemes-led-lampa-120-mozgaserzekelo-idojarasallo-1-5-w-200-lm-elol-6000-k-hatul-3000-k-flp-2-bk-solar-15493","https://www.somogyi.hu/product/home-flp-2-bk-solar-napelemes-led-lampa-120-mozgaserzekelo-idojarasallo-1-5-w-200-lm-elol-6000-k-hatul-3000-k-flp-2-bk-solar-15493")</f>
        <v>0.0</v>
      </c>
      <c r="E673" s="7" t="n">
        <f>HYPERLINK("https://www.somogyi.hu/data/img/product_main_images/small/15493.jpg","https://www.somogyi.hu/data/img/product_main_images/small/15493.jpg")</f>
        <v>0.0</v>
      </c>
      <c r="F673" s="2" t="inlineStr">
        <is>
          <t>5999084935276</t>
        </is>
      </c>
      <c r="G673" s="4" t="inlineStr">
        <is>
          <t>Világítsa meg éjszakára otthonának külterét! Ebben lesz segítségére az FLP 2/BK SOLAR fekete színű LED-es lámpa, amely napelemes, és mozgásérzékelővel is rendelkezik. A készülék bátran alkalmazható a kinti környezetben, hiszen az időjárásnak ellenálló kivitelben készült. Előnye, hogy nagy kapacitású akkumulátorral rendelkezik.
A sötétben az első és hátsó LED-ek energiatakarékosan világítanak (3%), mely fényerőt a mozgás érzékelésekor 100%-ra növeli a készülék. Válassza a minőségi termékeket és rendeljen webáruházunkból!</t>
        </is>
      </c>
    </row>
    <row r="674">
      <c r="A674" s="3" t="inlineStr">
        <is>
          <t>FLB 10C</t>
        </is>
      </c>
      <c r="B674" s="2" t="inlineStr">
        <is>
          <t>Home FLB 10C újratölthető COB LED fényvető, 2 x 5 W, 500 lm - 4 óra, 1000 lm - 2 óra, 5000 mAh</t>
        </is>
      </c>
      <c r="C674" s="1" t="n">
        <v>13890.0</v>
      </c>
      <c r="D674" s="7" t="n">
        <f>HYPERLINK("https://www.somogyi.hu/product/home-flb-10c-ujratoltheto-cob-led-fenyveto-2-x-5-w-500-lm-4-ora-1000-lm-2-ora-5000-mah-flb-10c-17283","https://www.somogyi.hu/product/home-flb-10c-ujratoltheto-cob-led-fenyveto-2-x-5-w-500-lm-4-ora-1000-lm-2-ora-5000-mah-flb-10c-17283")</f>
        <v>0.0</v>
      </c>
      <c r="E674" s="7" t="n">
        <f>HYPERLINK("https://www.somogyi.hu/data/img/product_main_images/small/17283.jpg","https://www.somogyi.hu/data/img/product_main_images/small/17283.jpg")</f>
        <v>0.0</v>
      </c>
      <c r="F674" s="2" t="inlineStr">
        <is>
          <t>5999084953058</t>
        </is>
      </c>
      <c r="G674" s="4" t="inlineStr">
        <is>
          <t>Az újratölthető COB LED-es fényvető hordozható, letámasztható, változatosan beállítható. A hordkeret és fényforrások is mágnesesen rögzíthetők.
A 2x5 W-os COB LED fényforrás külön-külön is kapcsolhatóak, hajtogathatóak így rendkívül széles körben alkalmazzák kül- és beltéren egyaránt.
Tartozékul szolgál 100 cm –es micro-USB töltőkábel. Kétféle világítási módban kapcsolható 500 és 1000 lumen. A lámpatestben a LED fényforrás nem cserélhető.
A többféle állítási lehetőségeinek és mágneses felfogatásának köszönhetően széles a felhasználási területe: kinti és benti szerelések, szakmunkák során, autószerelő műhelyekben is szívesen alkalmazzák.</t>
        </is>
      </c>
    </row>
    <row r="675">
      <c r="A675" s="3" t="inlineStr">
        <is>
          <t>FLL PIR 20</t>
        </is>
      </c>
      <c r="B675" s="2" t="inlineStr">
        <is>
          <t>Home FLL PIR 20 LED fényvető, PIR mozgásérzékelő, 140°, 20 W, 1600 lm,</t>
        </is>
      </c>
      <c r="C675" s="1" t="n">
        <v>5990.0</v>
      </c>
      <c r="D675" s="7" t="n">
        <f>HYPERLINK("https://www.somogyi.hu/product/home-fll-pir-20-led-fenyveto-pir-mozgaserzekelo-140-20-w-1600-lm-fll-pir-20-17884","https://www.somogyi.hu/product/home-fll-pir-20-led-fenyveto-pir-mozgaserzekelo-140-20-w-1600-lm-fll-pir-20-17884")</f>
        <v>0.0</v>
      </c>
      <c r="E675" s="7" t="n">
        <f>HYPERLINK("https://www.somogyi.hu/data/img/product_main_images/small/17884.jpg","https://www.somogyi.hu/data/img/product_main_images/small/17884.jpg")</f>
        <v>0.0</v>
      </c>
      <c r="F675" s="2" t="inlineStr">
        <is>
          <t>5999084959067</t>
        </is>
      </c>
      <c r="G675" s="4" t="inlineStr">
        <is>
          <t>Mozgásérzékelős, LED-es, falra szerelhető kül- és beltéren egyaránt használható, 20 W teljesítményű FLL PIR 20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76">
      <c r="A676" s="6" t="inlineStr">
        <is>
          <t xml:space="preserve">   Világítás / Asztali lámpa</t>
        </is>
      </c>
      <c r="B676" s="6" t="inlineStr">
        <is>
          <t/>
        </is>
      </c>
      <c r="C676" s="6" t="inlineStr">
        <is>
          <t/>
        </is>
      </c>
      <c r="D676" s="6" t="inlineStr">
        <is>
          <t/>
        </is>
      </c>
      <c r="E676" s="6" t="inlineStr">
        <is>
          <t/>
        </is>
      </c>
      <c r="F676" s="6" t="inlineStr">
        <is>
          <t/>
        </is>
      </c>
      <c r="G676" s="6" t="inlineStr">
        <is>
          <t/>
        </is>
      </c>
    </row>
    <row r="677">
      <c r="A677" s="3" t="inlineStr">
        <is>
          <t>LA 3</t>
        </is>
      </c>
      <c r="B677" s="2" t="inlineStr">
        <is>
          <t>Home LA 3 LED-es asztali lámpa, 20 db hidegfehér LED, 2 W / 200 lm, 3 fokozat, érintőgomb</t>
        </is>
      </c>
      <c r="C677" s="1" t="n">
        <v>4390.0</v>
      </c>
      <c r="D677" s="7" t="n">
        <f>HYPERLINK("https://www.somogyi.hu/product/home-la-3-led-es-asztali-lampa-20-db-hidegfeher-led-2-w-200-lm-3-fokozat-erintogomb-la-3-14937","https://www.somogyi.hu/product/home-la-3-led-es-asztali-lampa-20-db-hidegfeher-led-2-w-200-lm-3-fokozat-erintogomb-la-3-14937")</f>
        <v>0.0</v>
      </c>
      <c r="E677" s="7" t="n">
        <f>HYPERLINK("https://www.somogyi.hu/data/img/product_main_images/small/14937.jpg","https://www.somogyi.hu/data/img/product_main_images/small/14937.jpg")</f>
        <v>0.0</v>
      </c>
      <c r="F677" s="2" t="inlineStr">
        <is>
          <t>5999084929725</t>
        </is>
      </c>
      <c r="G677" s="4" t="inlineStr">
        <is>
          <t>Ön is gyakran szokott esti lámpafénynél olvasni, esetleg az egyéb teendői végezni? Ez esetben érdemes olyan lámpát vásárolni, amely kellő fényt biztosít!
Keresse az LA 3-as LED-es asztali lámpát, amelynek fényerejét 20 db hidegfehér SMD LED biztosítja. A fényerő 3 fokozatban változtatható.
A lámpa továbbá érintőgombokkal rendelkezik. A termékhez tartozik egy USB-s hálózati adapter.</t>
        </is>
      </c>
    </row>
    <row r="678">
      <c r="A678" s="3" t="inlineStr">
        <is>
          <t>LA 4</t>
        </is>
      </c>
      <c r="B678" s="2" t="inlineStr">
        <is>
          <t>Home LA 4 asztali lámpa, LED, éjjeli fény, állítható fejrész, 5 fokozat, változtatható fényerő / színhőmérséklet</t>
        </is>
      </c>
      <c r="C678" s="1" t="n">
        <v>10990.0</v>
      </c>
      <c r="D678" s="7" t="n">
        <f>HYPERLINK("https://www.somogyi.hu/product/home-la-4-asztali-lampa-led-ejjeli-feny-allithato-fejresz-5-fokozat-valtoztathato-fenyero-szinhomerseklet-la-4-18201","https://www.somogyi.hu/product/home-la-4-asztali-lampa-led-ejjeli-feny-allithato-fejresz-5-fokozat-valtoztathato-fenyero-szinhomerseklet-la-4-18201")</f>
        <v>0.0</v>
      </c>
      <c r="E678" s="7" t="n">
        <f>HYPERLINK("https://www.somogyi.hu/data/img/product_main_images/small/18201.jpg","https://www.somogyi.hu/data/img/product_main_images/small/18201.jpg")</f>
        <v>0.0</v>
      </c>
      <c r="F678" s="2" t="inlineStr">
        <is>
          <t>5999084962234</t>
        </is>
      </c>
      <c r="G678" s="4" t="inlineStr">
        <is>
          <t>Gondolkozott már azon, hogyan adhatná meg otthonának azt a tökéletes kiegészítő világítást, amely alkalmazkodik minden igényéhez? A Home LA 4 asztali lámpa innovatív megoldást kínál, elegáns kialakításával és állítható fejrészével, amely jobbra és balra is irányítható, így tökéletes világítást biztosít olvasáshoz, munkához vagy pihenéshez.
Az érintőgombokkal könnyedén szabályozhatja a fényerőt és a színhőmérsékletet, választhat melegfehér és hidegfehér SMD LED-ek között, öt különböző fokozatban. A külön bekapcsolható éjjeli fény funkció ideális választás a késő esti órákban, míg a 45 perces kikapcsolásidőzítő gondoskodik róla, hogy soha ne feledkezzen meg az energia takarékos használatról.
Az integrált vezetékes USB töltőaljzattal (5 V / max. 1,0 A) a lámpa mellett könnyedén töltheti mobil eszközeit is, a csomagban található USB A – USB C tápvezetékkel együtt. Az ajánlott hálózati USB adapter (5 V / min. 2,1 A) segít, hogy eszközei hatékonyan töltődjenek.
Az 11,5 x 41,2 x 37 cm méretű Home LA 4 asztali lámpa nem csak praktikus, hanem stílusos kiegészítője is lehet otthonának vagy munkahelyének. Válassza ezt az asztali lámpát, hogy egy modern világítási megoldást hozzon életébe, ahol a fényerő és színhőmérséklet egy érintéssel szabályozható.</t>
        </is>
      </c>
    </row>
    <row r="679">
      <c r="A679" s="3" t="inlineStr">
        <is>
          <t>LA 10 Q</t>
        </is>
      </c>
      <c r="B679" s="2" t="inlineStr">
        <is>
          <t>Home LA 10 Q asztali lámpa vezeték nélküli töltővel, 600 lm, 6 W, 5 fokozat, vezeték nélküli Qi töltő (max. 10 W)</t>
        </is>
      </c>
      <c r="C679" s="1" t="n">
        <v>14690.0</v>
      </c>
      <c r="D679" s="7" t="n">
        <f>HYPERLINK("https://www.somogyi.hu/product/home-la-10-q-asztali-lampa-vezetek-nelkuli-toltovel-600-lm-6-w-5-fokozat-vezetek-nelkuli-qi-tolto-max-10-w-la-10-q-18200","https://www.somogyi.hu/product/home-la-10-q-asztali-lampa-vezetek-nelkuli-toltovel-600-lm-6-w-5-fokozat-vezetek-nelkuli-qi-tolto-max-10-w-la-10-q-18200")</f>
        <v>0.0</v>
      </c>
      <c r="E679" s="7" t="n">
        <f>HYPERLINK("https://www.somogyi.hu/data/img/product_main_images/small/18200.jpg","https://www.somogyi.hu/data/img/product_main_images/small/18200.jpg")</f>
        <v>0.0</v>
      </c>
      <c r="F679" s="2" t="inlineStr">
        <is>
          <t>5999084962227</t>
        </is>
      </c>
      <c r="G679" s="4" t="inlineStr">
        <is>
          <t>Az LA 10 Q asztali lámpa egy innovatív és sokoldalú megoldás a mindennapi életben. Ezzel az intelligens lámpával nem csak fényt és kényelmet hozhat otthonába, de vezeték nélküli töltési lehetőséget is biztosít mobil eszközeihez.
Az LA 10 Q asztali lámpa 600 lumen fényerőt és 6 W teljesítményt kínál, így elegendő világosságot biztosít a tevékenységeihez. A fényerőt könnyedén beállíthatja 5 különböző fokozatban. A fejrész jobbra-balra is állítható, így a fényt pontosan irányíthatja.
Az asztali lámpa kihúzható telefontartóval rendelkezik, amely kényelmesen és biztonságosan tárolja mobil eszközét. Az érintőgombok lehetővé teszik a könnyű és intuitív működtetést. LA 10 Q lámpa változtatható színhőmérsékletet kínál, amely melegfehér, hidegfehér és természetes fényt is biztosít.
A lámpában található hőmérő, óra (12/24 órás formátumban), naptár és ébresztési funkcióval is rendelkezik. Az asztali lámpában beépített vezeték nélküli töltő található, amely támogatja a Qi max. 10W töltést.
Többé nincs szükség kábelekre, vagy külön töltőre a mobil eszközei számára. Az óra tápellátásához egy 3 V (CR 2032) elem tartozik. Rendelje meg ma, és hozza be a modern kényelmet otthonába az LA 10 Q-val!</t>
        </is>
      </c>
    </row>
    <row r="680">
      <c r="A680" s="3" t="inlineStr">
        <is>
          <t>LA 51</t>
        </is>
      </c>
      <c r="B680" s="2" t="inlineStr">
        <is>
          <t>Home LA 51 LED-es asztali lámpa, óra, 5 W / 400 lm, hőmérő, naptár, ébresztés, melegfehér / hidegfehér / természetes színhőmérsékletek</t>
        </is>
      </c>
      <c r="C680" s="1" t="n">
        <v>14690.0</v>
      </c>
      <c r="D680" s="7" t="n">
        <f>HYPERLINK("https://www.somogyi.hu/product/home-la-51-led-es-asztali-lampa-ora-5-w-400-lm-homero-naptar-ebresztes-melegfeher-hidegfeher-termeszetes-szinhomersekletek-la-51-18174","https://www.somogyi.hu/product/home-la-51-led-es-asztali-lampa-ora-5-w-400-lm-homero-naptar-ebresztes-melegfeher-hidegfeher-termeszetes-szinhomersekletek-la-51-18174")</f>
        <v>0.0</v>
      </c>
      <c r="E680" s="7" t="n">
        <f>HYPERLINK("https://www.somogyi.hu/data/img/product_main_images/small/18174.jpg","https://www.somogyi.hu/data/img/product_main_images/small/18174.jpg")</f>
        <v>0.0</v>
      </c>
      <c r="F680" s="2" t="inlineStr">
        <is>
          <t>5999084961961</t>
        </is>
      </c>
      <c r="G680" s="4" t="inlineStr">
        <is>
          <t xml:space="preserve"> • teljesítmény: 5 W 
 • fényforrás típusa: SMD LED 
 • fényforrások száma: 4 db melegfehér és 10 db hidegfehér SMD LED 
 • fényerő: 400 lm 
 • színhőmérséklet: 2700 K / 5000 K 
 • hang- és érintésvezérlés: érintésvezérlés 
 • állítható fényerő: 5 fokozat 
 • ébresztőóra: van 
 • óra tápellátása: 1 x 3 V (CR2032), tartozék 
 • tápellátás: tápellátás tartozék USB hálózati adapter: PRI: 230 V~ / 50 Hz; SEC: 5 V / 1500 mA 
 • méret: 26 x 33 x 15 cm 
 • tömeg: 0,79 kg 
 • funkciók: hőmérő, óra (12/24), naptár, ébresztés 
 • jellemzők: kék háttérvilágítású LCD kijelző 
 • egyéb információ: A lámpatestben a LED fényforrás nem cserélhető.</t>
        </is>
      </c>
    </row>
    <row r="681">
      <c r="A681" s="6" t="inlineStr">
        <is>
          <t xml:space="preserve">   Világítás / Foglalatátalakító</t>
        </is>
      </c>
      <c r="B681" s="6" t="inlineStr">
        <is>
          <t/>
        </is>
      </c>
      <c r="C681" s="6" t="inlineStr">
        <is>
          <t/>
        </is>
      </c>
      <c r="D681" s="6" t="inlineStr">
        <is>
          <t/>
        </is>
      </c>
      <c r="E681" s="6" t="inlineStr">
        <is>
          <t/>
        </is>
      </c>
      <c r="F681" s="6" t="inlineStr">
        <is>
          <t/>
        </is>
      </c>
      <c r="G681" s="6" t="inlineStr">
        <is>
          <t/>
        </is>
      </c>
    </row>
    <row r="682">
      <c r="A682" s="3" t="inlineStr">
        <is>
          <t>E27/E14</t>
        </is>
      </c>
      <c r="B682" s="2" t="inlineStr">
        <is>
          <t>Home E27/E14 foglalatátalakító adapter, max. 2 A</t>
        </is>
      </c>
      <c r="C682" s="1" t="n">
        <v>579.0</v>
      </c>
      <c r="D682" s="7" t="n">
        <f>HYPERLINK("https://www.somogyi.hu/product/home-e27-e14-foglalatatalakito-adapter-max-2-a-e27-e14-14925","https://www.somogyi.hu/product/home-e27-e14-foglalatatalakito-adapter-max-2-a-e27-e14-14925")</f>
        <v>0.0</v>
      </c>
      <c r="E682" s="7" t="n">
        <f>HYPERLINK("https://www.somogyi.hu/data/img/product_main_images/small/14925.jpg","https://www.somogyi.hu/data/img/product_main_images/small/14925.jpg")</f>
        <v>0.0</v>
      </c>
      <c r="F682" s="2" t="inlineStr">
        <is>
          <t>5999084929602</t>
        </is>
      </c>
      <c r="G682" s="4" t="inlineStr">
        <is>
          <t>Keresse a megbízható kivitelezésben készült foglalat átalakítókat!  Az E27/E14 típusú foglalat átalakító lehetővé teszi a különböző fényforrások használatát az E 14-es foglalatokban. E 27 → E14. Válassza a minőségi termékeket és rendeljen webáruházunkból!</t>
        </is>
      </c>
    </row>
    <row r="683">
      <c r="A683" s="3" t="inlineStr">
        <is>
          <t>E14/E27</t>
        </is>
      </c>
      <c r="B683" s="2" t="inlineStr">
        <is>
          <t>Home E14/E27 foglalatátalakító adapter, max. 2 A</t>
        </is>
      </c>
      <c r="C683" s="1" t="n">
        <v>539.0</v>
      </c>
      <c r="D683" s="7" t="n">
        <f>HYPERLINK("https://www.somogyi.hu/product/home-e14-e27-foglalatatalakito-adapter-max-2-a-e14-e27-14926","https://www.somogyi.hu/product/home-e14-e27-foglalatatalakito-adapter-max-2-a-e14-e27-14926")</f>
        <v>0.0</v>
      </c>
      <c r="E683" s="7" t="n">
        <f>HYPERLINK("https://www.somogyi.hu/data/img/product_main_images/small/14926.jpg","https://www.somogyi.hu/data/img/product_main_images/small/14926.jpg")</f>
        <v>0.0</v>
      </c>
      <c r="F683" s="2" t="inlineStr">
        <is>
          <t>5999084929619</t>
        </is>
      </c>
      <c r="G683" s="4" t="inlineStr">
        <is>
          <t>Keresse a megbízható kivitelezésben készült foglalat átalakítókat!  Az E14/E27 típusú foglalat átalakító lehetővé teszi a különböző fényforrások használatát az E 27-es foglalatokban. E 14 → E27. Válassza a minőségi termékeket és rendeljen webáruházunkból!</t>
        </is>
      </c>
    </row>
    <row r="684">
      <c r="A684" s="3" t="inlineStr">
        <is>
          <t>GU10/E27</t>
        </is>
      </c>
      <c r="B684" s="2" t="inlineStr">
        <is>
          <t>Home GU10/E27 foglalatátalakító adapter, max. 2 A</t>
        </is>
      </c>
      <c r="C684" s="1" t="n">
        <v>669.0</v>
      </c>
      <c r="D684" s="7" t="n">
        <f>HYPERLINK("https://www.somogyi.hu/product/home-gu10-e27-foglalatatalakito-adapter-max-2-a-gu10-e27-9034","https://www.somogyi.hu/product/home-gu10-e27-foglalatatalakito-adapter-max-2-a-gu10-e27-9034")</f>
        <v>0.0</v>
      </c>
      <c r="E684" s="7" t="n">
        <f>HYPERLINK("https://www.somogyi.hu/data/img/product_main_images/small/09034.jpg","https://www.somogyi.hu/data/img/product_main_images/small/09034.jpg")</f>
        <v>0.0</v>
      </c>
      <c r="F684" s="2" t="inlineStr">
        <is>
          <t>5998312779149</t>
        </is>
      </c>
      <c r="G684" s="4" t="inlineStr">
        <is>
          <t>Önnek is gyakran bosszúságot okoz, amikor az energiatakarékos izzókat nem tudja használni a hagyományos foglalatokban? Aggodalomra azonban semmi ok, hiszen van megoldás a problémájára. 
Ismerje meg a GU10/E27-es foglalatátalakítót! Segítségével immáron könnyedén megoldható a hagyományos E27-es foglalatok használata. Válassza a legjobb minőséget és rendeljen webáruházunkból!</t>
        </is>
      </c>
    </row>
    <row r="685">
      <c r="A685" s="3" t="inlineStr">
        <is>
          <t>E27-GU10</t>
        </is>
      </c>
      <c r="B685" s="2" t="inlineStr">
        <is>
          <t>Home E27-GU10 foglalatátalakító adapter, max. 0,3 A</t>
        </is>
      </c>
      <c r="C685" s="1" t="n">
        <v>609.0</v>
      </c>
      <c r="D685" s="7" t="n">
        <f>HYPERLINK("https://www.somogyi.hu/product/home-e27-gu10-foglalatatalakito-adapter-max-0-3-a-e27-gu10-18111","https://www.somogyi.hu/product/home-e27-gu10-foglalatatalakito-adapter-max-0-3-a-e27-gu10-18111")</f>
        <v>0.0</v>
      </c>
      <c r="E685" s="7" t="n">
        <f>HYPERLINK("https://www.somogyi.hu/data/img/product_main_images/small/18111.jpg","https://www.somogyi.hu/data/img/product_main_images/small/18111.jpg")</f>
        <v>0.0</v>
      </c>
      <c r="F685" s="2" t="inlineStr">
        <is>
          <t>5999084961336</t>
        </is>
      </c>
      <c r="G685" s="4" t="inlineStr">
        <is>
          <t xml:space="preserve"> • fényforrás foglalata: E27 
 • lámpafoglalat: GU10 
 • max. A: 0,3 A 
 • méret: Ø34 x 57 mm</t>
        </is>
      </c>
    </row>
    <row r="686">
      <c r="A686" s="3" t="inlineStr">
        <is>
          <t>GU10/E14</t>
        </is>
      </c>
      <c r="B686" s="2" t="inlineStr">
        <is>
          <t>Home GU10/E14 foglalatátalakító adapter, max. 2 A</t>
        </is>
      </c>
      <c r="C686" s="1" t="n">
        <v>699.0</v>
      </c>
      <c r="D686" s="7" t="n">
        <f>HYPERLINK("https://www.somogyi.hu/product/home-gu10-e14-foglalatatalakito-adapter-max-2-a-gu10-e14-9035","https://www.somogyi.hu/product/home-gu10-e14-foglalatatalakito-adapter-max-2-a-gu10-e14-9035")</f>
        <v>0.0</v>
      </c>
      <c r="E686" s="7" t="n">
        <f>HYPERLINK("https://www.somogyi.hu/data/img/product_main_images/small/09035.jpg","https://www.somogyi.hu/data/img/product_main_images/small/09035.jpg")</f>
        <v>0.0</v>
      </c>
      <c r="F686" s="2" t="inlineStr">
        <is>
          <t>5998312779156</t>
        </is>
      </c>
      <c r="G686" s="4" t="inlineStr">
        <is>
          <t>Önnek is gyakran bosszúságot okoz, amikor az energiatakarékos izzókat nem tudja használni a hagyományos foglalatokban? Aggodalomra azonban semmi ok, hiszen van megoldás a problémájára. 
Ismerje meg a GU10/E14-es foglalatátalakítót! Segítségével immáron könnyedén megoldható a hagyományos E14-es foglalatok használata. Válassza a legjobb minőséget és rendeljen webáruházunkból!</t>
        </is>
      </c>
    </row>
    <row r="687">
      <c r="A687" s="3" t="inlineStr">
        <is>
          <t>E14/GU10</t>
        </is>
      </c>
      <c r="B687" s="2" t="inlineStr">
        <is>
          <t>Home E14/GU10 foglalatátalakító adapter, max. 0,3 A</t>
        </is>
      </c>
      <c r="C687" s="1" t="n">
        <v>699.0</v>
      </c>
      <c r="D687" s="7" t="n">
        <f>HYPERLINK("https://www.somogyi.hu/product/home-e14-gu10-foglalatatalakito-adapter-max-0-3-a-e14-gu10-9744","https://www.somogyi.hu/product/home-e14-gu10-foglalatatalakito-adapter-max-0-3-a-e14-gu10-9744")</f>
        <v>0.0</v>
      </c>
      <c r="E687" s="7" t="n">
        <f>HYPERLINK("https://www.somogyi.hu/data/img/product_main_images/small/09744.jpg","https://www.somogyi.hu/data/img/product_main_images/small/09744.jpg")</f>
        <v>0.0</v>
      </c>
      <c r="F687" s="2" t="inlineStr">
        <is>
          <t>5998312784747</t>
        </is>
      </c>
      <c r="G687" s="4" t="inlineStr">
        <is>
          <t>Az E14/GU10 foglalatátalakító rendkívül nagy segítséget nyújt a háztartások számára, mivel lehetővé teszi az izzók és energiatakarékos fényforrások használatát a GU10-es foglalatokban. 
Segítségével immáron könnyedén megoldható a hagyományos E14-es foglalattal rendelkező izzók használata. Válassza a legjobb minőséget és rendeljen webáruházunkból!</t>
        </is>
      </c>
    </row>
    <row r="688">
      <c r="A688" s="6" t="inlineStr">
        <is>
          <t xml:space="preserve">   Rovarriasztó, rágcsálóriasztó, szúnyogháló / Rovarcsapda</t>
        </is>
      </c>
      <c r="B688" s="6" t="inlineStr">
        <is>
          <t/>
        </is>
      </c>
      <c r="C688" s="6" t="inlineStr">
        <is>
          <t/>
        </is>
      </c>
      <c r="D688" s="6" t="inlineStr">
        <is>
          <t/>
        </is>
      </c>
      <c r="E688" s="6" t="inlineStr">
        <is>
          <t/>
        </is>
      </c>
      <c r="F688" s="6" t="inlineStr">
        <is>
          <t/>
        </is>
      </c>
      <c r="G688" s="6" t="inlineStr">
        <is>
          <t/>
        </is>
      </c>
    </row>
    <row r="689">
      <c r="A689" s="3" t="inlineStr">
        <is>
          <t>IK 250</t>
        </is>
      </c>
      <c r="B689" s="2" t="inlineStr">
        <is>
          <t>Home IK 250 beltéri rovarcsapda, 40 m2 hatókörzet, UV-A fény, rovargyűjtő tálca, 1 x 11 W fényforrás</t>
        </is>
      </c>
      <c r="C689" s="1" t="n">
        <v>6390.0</v>
      </c>
      <c r="D689" s="7" t="n">
        <f>HYPERLINK("https://www.somogyi.hu/product/home-ik-250-belteri-rovarcsapda-40-m2-hatokorzet-uv-a-feny-rovargyujto-talca-1-x-11-w-fenyforras-ik-250-17589","https://www.somogyi.hu/product/home-ik-250-belteri-rovarcsapda-40-m2-hatokorzet-uv-a-feny-rovargyujto-talca-1-x-11-w-fenyforras-ik-250-17589")</f>
        <v>0.0</v>
      </c>
      <c r="E689" s="7" t="n">
        <f>HYPERLINK("https://www.somogyi.hu/data/img/product_main_images/small/17589.jpg","https://www.somogyi.hu/data/img/product_main_images/small/17589.jpg")</f>
        <v>0.0</v>
      </c>
      <c r="F689" s="2" t="inlineStr">
        <is>
          <t>5999084956110</t>
        </is>
      </c>
      <c r="G689" s="4" t="inlineStr">
        <is>
          <t>A feszültséggel működő elektromos beltéri rovarcsapda hatékony megoldást kínál az otthonában megjelenő rovarok ellen. Az eszköz nagy hatékonysággal működik, és alkalmas akár 40 m2-es terület megtisztítására is. Az UV-A fény segítségével a rovarok vonzására szolgál, amelyek ezután a kitekerhető rovargyűjtő tálca segítségével könnyedén eltávolíthatók. Az eszköz 11 W-os UV-A fényforrással működik, amelynek cseréjét csak szakember végezheti el. Fontos, hogy az eszközt csak a gyártó utasításai szerint használjuk, és ne működtessük dobozban. Az eszköz tápellátása 230 V~ / 50 Hz / 11 W. Ha szeretné megszabadulni a rovaroktól az otthonában, ne habozzon megrendelni az UV-A fényű elektromos beltéri rovarcsapdát webáruházunkból!</t>
        </is>
      </c>
    </row>
    <row r="690">
      <c r="A690" s="3" t="inlineStr">
        <is>
          <t>IK 260</t>
        </is>
      </c>
      <c r="B690" s="2" t="inlineStr">
        <is>
          <t>Home IK 260 beltéri rovarcsapda, 50 m2 hatókörzet, UV-A fény, rovargyűjtő tálca, 1 x 18 W fényforrás</t>
        </is>
      </c>
      <c r="C690" s="1" t="n">
        <v>8690.0</v>
      </c>
      <c r="D690" s="7" t="n">
        <f>HYPERLINK("https://www.somogyi.hu/product/home-ik-260-belteri-rovarcsapda-50-m2-hatokorzet-uv-a-feny-rovargyujto-talca-1-x-18-w-fenyforras-ik-260-17590","https://www.somogyi.hu/product/home-ik-260-belteri-rovarcsapda-50-m2-hatokorzet-uv-a-feny-rovargyujto-talca-1-x-18-w-fenyforras-ik-260-17590")</f>
        <v>0.0</v>
      </c>
      <c r="E690" s="7" t="n">
        <f>HYPERLINK("https://www.somogyi.hu/data/img/product_main_images/small/17590.jpg","https://www.somogyi.hu/data/img/product_main_images/small/17590.jpg")</f>
        <v>0.0</v>
      </c>
      <c r="F690" s="2" t="inlineStr">
        <is>
          <t>5999084956127</t>
        </is>
      </c>
      <c r="G690" s="4" t="inlineStr">
        <is>
          <t>A feszültséggel működő elektromos beltéri rovarcsapda hatékony megoldást kínál az otthonában megjelenő rovarok ellen. Az eszköz nagy hatékonysággal működik, és alkalmas akár 50 m2-es terület megtisztítására is. Az UV-A fény segítségével a rovarok vonzására szolgál, amelyek ezután a kitekerhető rovargyűjtő tálca segítségével könnyedén eltávolíthatók. Az eszköz 18 W-os UV-A fényforrással működik, amelynek cseréjét csak szakember végezheti el. Fontos, hogy az eszközt csak a gyártó utasításai szerint használjuk, és ne működtessük dobozban. Az eszköz tápellátása 230 V~ / 50 Hz / 18 W. Ha szeretné megszabadulni a rovaroktól az otthonában, ne habozzon megrendelni az UV-A fényű elektromos beltéri rovarcsapdát webáruházunkból!</t>
        </is>
      </c>
    </row>
    <row r="691">
      <c r="A691" s="3" t="inlineStr">
        <is>
          <t>T5 F8W BL</t>
        </is>
      </c>
      <c r="B691" s="2" t="inlineStr">
        <is>
          <t>Home T5 F8W BL pótfénycső, IKM 50-hez, 8 W</t>
        </is>
      </c>
      <c r="C691" s="1" t="n">
        <v>1150.0</v>
      </c>
      <c r="D691" s="7" t="n">
        <f>HYPERLINK("https://www.somogyi.hu/product/home-t5-f8w-bl-potfenycso-ikm-50-hez-8-w-t5-f8w-bl-15837","https://www.somogyi.hu/product/home-t5-f8w-bl-potfenycso-ikm-50-hez-8-w-t5-f8w-bl-15837")</f>
        <v>0.0</v>
      </c>
      <c r="E691" s="7" t="n">
        <f>HYPERLINK("https://www.somogyi.hu/data/img/product_main_images/small/15837.jpg","https://www.somogyi.hu/data/img/product_main_images/small/15837.jpg")</f>
        <v>0.0</v>
      </c>
      <c r="F691" s="2" t="inlineStr">
        <is>
          <t>5999084938710</t>
        </is>
      </c>
      <c r="G691" s="4" t="inlineStr">
        <is>
          <t>A T5 F8W BL Pótfénycső 8 W-os. 
Az IKM 50 Elektromos rovarcsapdához vásárolható meg.</t>
        </is>
      </c>
    </row>
    <row r="692">
      <c r="A692" s="3" t="inlineStr">
        <is>
          <t>IKF 40</t>
        </is>
      </c>
      <c r="B692" s="2" t="inlineStr">
        <is>
          <t>Home IKF 40 ventilátoros beltéri rovarcsapda, 40 m2 hatókörzet, UV-A fény, rovargyűjtő kosár, 1 x 7 W fényforrás</t>
        </is>
      </c>
      <c r="C692" s="1" t="n">
        <v>10890.0</v>
      </c>
      <c r="D692" s="7" t="n">
        <f>HYPERLINK("https://www.somogyi.hu/product/home-ikf-40-ventilatoros-belteri-rovarcsapda-40-m2-hatokorzet-uv-a-feny-rovargyujto-kosar-1-x-7-w-fenyforras-ikf-40-17591","https://www.somogyi.hu/product/home-ikf-40-ventilatoros-belteri-rovarcsapda-40-m2-hatokorzet-uv-a-feny-rovargyujto-kosar-1-x-7-w-fenyforras-ikf-40-17591")</f>
        <v>0.0</v>
      </c>
      <c r="E692" s="7" t="n">
        <f>HYPERLINK("https://www.somogyi.hu/data/img/product_main_images/small/17591.jpg","https://www.somogyi.hu/data/img/product_main_images/small/17591.jpg")</f>
        <v>0.0</v>
      </c>
      <c r="F692" s="2" t="inlineStr">
        <is>
          <t>5999084956134</t>
        </is>
      </c>
      <c r="G692" s="4" t="inlineStr">
        <is>
          <t>A beltéri rovarokkal teli lakás kellemetlen érzést okozhat bárkinek. A ventilátoros beltéri rovarcsapda 12 W-os teljesítménnyel és 40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7 W-os, és házilag nem cserélhető. Az eszköz könnyen tisztítható rovargyűjtő kosárral rendelkezik. Fontos, hogy az eszközt csak a gyártó utasításai szerint használja, és ne működtesse dobozban. A termék tápellátás 230 V~ / 50 Hz / 12 W. Ha szeretné otthona rovarmentesítését, akkor rendelje meg most a ventilátoros beltéri rovarcsapdát webáruházunkból!</t>
        </is>
      </c>
    </row>
    <row r="693">
      <c r="A693" s="3" t="inlineStr">
        <is>
          <t>IKF 50</t>
        </is>
      </c>
      <c r="B693" s="2" t="inlineStr">
        <is>
          <t>Home IKF 50 ventilátoros beltéri rovarcsapda, 50 m2 hatókörzet, UV-A fény, rovargyűjtő kosár, 1 x 7 W fényforrás</t>
        </is>
      </c>
      <c r="C693" s="1" t="n">
        <v>12790.0</v>
      </c>
      <c r="D693" s="7" t="n">
        <f>HYPERLINK("https://www.somogyi.hu/product/home-ikf-50-ventilatoros-belteri-rovarcsapda-50-m2-hatokorzet-uv-a-feny-rovargyujto-kosar-1-x-7-w-fenyforras-ikf-50-17592","https://www.somogyi.hu/product/home-ikf-50-ventilatoros-belteri-rovarcsapda-50-m2-hatokorzet-uv-a-feny-rovargyujto-kosar-1-x-7-w-fenyforras-ikf-50-17592")</f>
        <v>0.0</v>
      </c>
      <c r="E693" s="7" t="n">
        <f>HYPERLINK("https://www.somogyi.hu/data/img/product_main_images/small/17592.jpg","https://www.somogyi.hu/data/img/product_main_images/small/17592.jpg")</f>
        <v>0.0</v>
      </c>
      <c r="F693" s="2" t="inlineStr">
        <is>
          <t>5999084956141</t>
        </is>
      </c>
      <c r="G693" s="4" t="inlineStr">
        <is>
          <t>A beltéri rovarokkal teli lakás kellemetlen érzést okozhat bárkinek. A ventilátoros beltéri rovarcsapda 12 W-os teljesítménnyel és 50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5 W-os, és házilag nem cserélhető. Az eszköz könnyen tisztítható rovargyűjtő kosárral rendelkezik. Fontos, hogy az eszközt csak a gyártó utasításai szerint használja, és ne működtesse dobozban. A termék tápellátás 230 V~ / 50 Hz / 9 W. Ha szeretné otthona rovarmentesítését, akkor rendelje meg most a ventilátoros beltéri rovarcsapdát webáruházunkból!</t>
        </is>
      </c>
    </row>
    <row r="694">
      <c r="A694" s="3" t="inlineStr">
        <is>
          <t>IKM 50</t>
        </is>
      </c>
      <c r="B694" s="2" t="inlineStr">
        <is>
          <t>Home IKM 50 beltéri rovarcsapda, 50 m2 hatókörzet, UV-A fény, rovargyűjtő tálca, 2 x 8 W fénycső, kapcsolható</t>
        </is>
      </c>
      <c r="C694" s="1" t="n">
        <v>13290.0</v>
      </c>
      <c r="D694" s="7" t="n">
        <f>HYPERLINK("https://www.somogyi.hu/product/home-ikm-50-belteri-rovarcsapda-50-m2-hatokorzet-uv-a-feny-rovargyujto-talca-2-x-8-w-fenycso-kapcsolhato-ikm-50-15835","https://www.somogyi.hu/product/home-ikm-50-belteri-rovarcsapda-50-m2-hatokorzet-uv-a-feny-rovargyujto-talca-2-x-8-w-fenycso-kapcsolhato-ikm-50-15835")</f>
        <v>0.0</v>
      </c>
      <c r="E694" s="7" t="n">
        <f>HYPERLINK("https://www.somogyi.hu/data/img/product_main_images/small/15835.jpg","https://www.somogyi.hu/data/img/product_main_images/small/15835.jpg")</f>
        <v>0.0</v>
      </c>
      <c r="F694" s="2" t="inlineStr">
        <is>
          <t>5999084938697</t>
        </is>
      </c>
      <c r="G694" s="4" t="inlineStr">
        <is>
          <t>Ha szeretné megszabadítani fedett teraszát, erkélyét a bosszantó rovaroktól, akkor az IKM 50 Elektromos rovarcsapda ideális megoldás lehet. Ez a hatékony eszköz akár 50 m2 területen is használható, és a könnyen felakasztható láncnak köszönhetően könnyedén elhelyezhető. A tápkábel hossza 1 m, és a tápellátás 230 V. A 2 db 8 W-os lila UV-A fénycsövei cserélhetőek, amelyeket webáruházunkban T5 F8W BL Pótfénycső néven találhat meg. Az IKM 50 Elektromos rovarcsapda beépített lámpája kifejezetten rovarcsapdaként funkcionál, és nem alkalmas háztartási helyiségek megvilágítására. Védje magát és családját a kellemetlen rovarcsípésektől az IKM 50 Elektromos rovarcsapdával!</t>
        </is>
      </c>
    </row>
    <row r="695">
      <c r="A695" s="3" t="inlineStr">
        <is>
          <t>IKM 150</t>
        </is>
      </c>
      <c r="B695" s="2" t="inlineStr">
        <is>
          <t>Home IKM 150 beltéri rovarcsapda, 150 m2 hatókörzet, UV-A fény, rovargyűjtő tálca, 2 x 18 W fénycső, kapcsolható</t>
        </is>
      </c>
      <c r="C695" s="1" t="n">
        <v>20290.0</v>
      </c>
      <c r="D695" s="7" t="n">
        <f>HYPERLINK("https://www.somogyi.hu/product/home-ikm-150-belteri-rovarcsapda-150-m2-hatokorzet-uv-a-feny-rovargyujto-talca-2-x-18-w-fenycso-kapcsolhato-ikm-150-16280","https://www.somogyi.hu/product/home-ikm-150-belteri-rovarcsapda-150-m2-hatokorzet-uv-a-feny-rovargyujto-talca-2-x-18-w-fenycso-kapcsolhato-ikm-150-16280")</f>
        <v>0.0</v>
      </c>
      <c r="E695" s="7" t="n">
        <f>HYPERLINK("https://www.somogyi.hu/data/img/product_main_images/small/16280.jpg","https://www.somogyi.hu/data/img/product_main_images/small/16280.jpg")</f>
        <v>0.0</v>
      </c>
      <c r="F695" s="2" t="inlineStr">
        <is>
          <t>5999084943127</t>
        </is>
      </c>
      <c r="G695" s="4" t="inlineStr">
        <is>
          <t>Ha szeretné megszabadítani fedett teraszát, erkélyét a bosszantó rovaroktól, akkor az IKM 150 Elektromos rovarcsapda ideális megoldás lehet. Ez a hatékony eszköz akár 150 m2 területen is használható, és a könnyen felakasztható láncnak köszönhetően könnyedén elhelyezhető. A tápkábel hossza 1 m, és a tápellátás 230 V. A 2 db 18 W-os lila UV-A fénycsövei cserélhetőek, amelyeket webáruházunkban T8 F18W BL Pótfénycső néven találhat meg. Az IKM 150 Elektromos rovarcsapda beépített lámpája kifejezetten rovarcsapdaként funkcionál, és nem alkalmas háztartási helyiségek megvilágítására. Védje magát és családját a kellemetlen rovarcsípésektől az IKM 150 Elektromos rovarcsapdával!</t>
        </is>
      </c>
    </row>
    <row r="696">
      <c r="A696" s="3" t="inlineStr">
        <is>
          <t>T8 F18W BL</t>
        </is>
      </c>
      <c r="B696" s="2" t="inlineStr">
        <is>
          <t>Home T8 F18W BL pótfénycső, IKM 150-hez, 18 W</t>
        </is>
      </c>
      <c r="C696" s="1" t="n">
        <v>1550.0</v>
      </c>
      <c r="D696" s="7" t="n">
        <f>HYPERLINK("https://www.somogyi.hu/product/home-t8-f18w-bl-potfenycso-ikm-150-hez-18-w-t8-f18w-bl-16348","https://www.somogyi.hu/product/home-t8-f18w-bl-potfenycso-ikm-150-hez-18-w-t8-f18w-bl-16348")</f>
        <v>0.0</v>
      </c>
      <c r="E696" s="7" t="n">
        <f>HYPERLINK("https://www.somogyi.hu/data/img/product_main_images/small/16348.jpg","https://www.somogyi.hu/data/img/product_main_images/small/16348.jpg")</f>
        <v>0.0</v>
      </c>
      <c r="F696" s="2" t="inlineStr">
        <is>
          <t>5999084943806</t>
        </is>
      </c>
      <c r="G696" s="4" t="inlineStr">
        <is>
          <t>A T8 F18W BL Pótfénycső 18 W-os. 
Az IKM 150 Elektromos rovarcsapdához vásárolható meg.</t>
        </is>
      </c>
    </row>
    <row r="697">
      <c r="A697" s="3" t="inlineStr">
        <is>
          <t>IK 230</t>
        </is>
      </c>
      <c r="B697" s="2" t="inlineStr">
        <is>
          <t>Home IK 230 beltéri rovarcsapda, 20 m2 hatókörzet, UV-A fény, rovargyűjtő tálca, 1 x 4 W fényforrás</t>
        </is>
      </c>
      <c r="C697" s="1" t="n">
        <v>5190.0</v>
      </c>
      <c r="D697" s="7" t="n">
        <f>HYPERLINK("https://www.somogyi.hu/product/home-ik-230-belteri-rovarcsapda-20-m2-hatokorzet-uv-a-feny-rovargyujto-talca-1-x-4-w-fenyforras-ik-230-14417","https://www.somogyi.hu/product/home-ik-230-belteri-rovarcsapda-20-m2-hatokorzet-uv-a-feny-rovargyujto-talca-1-x-4-w-fenyforras-ik-230-14417")</f>
        <v>0.0</v>
      </c>
      <c r="E697" s="7" t="n">
        <f>HYPERLINK("https://www.somogyi.hu/data/img/product_main_images/small/14417.jpg","https://www.somogyi.hu/data/img/product_main_images/small/14417.jpg")</f>
        <v>0.0</v>
      </c>
      <c r="F697" s="2" t="inlineStr">
        <is>
          <t>5999084924652</t>
        </is>
      </c>
      <c r="G697" s="4" t="inlineStr">
        <is>
          <t>Védekezzen hatékonyan a rovarok ellen az IK 230-as elektromos beltéri rovarcsapdával! Ne engedje, hogy a legyek, szúnyogok és más rovarok veszélyes fertőzéseket terjesszenek otthonában. A könnyen használható és tisztítható rovarcsapda 20 m²-es hatókörzettel rendelkezik, így kifejezetten alkalmas a kisebb beltéri helyiségek rovarmentesítésére. A csapda 11,5 X 11,5 X 25 cm-es mérete pedig tökéletesen illeszkedik otthonának bármely részébe. Vásároljon bizalommal webáruházunkból és élvezze az elektromos beltéri rovarcsapda által nyújtott hatékony védelmet!</t>
        </is>
      </c>
    </row>
    <row r="698">
      <c r="A698" s="3" t="inlineStr">
        <is>
          <t>IK 240</t>
        </is>
      </c>
      <c r="B698" s="2" t="inlineStr">
        <is>
          <t>Home IK 240 beltéri rovarcsapda, 30 m2 hatókörzet, UV-A fény, rovargyűjtő tálca, 1 x 6 W fényforrás</t>
        </is>
      </c>
      <c r="C698" s="1" t="n">
        <v>5690.0</v>
      </c>
      <c r="D698" s="7" t="n">
        <f>HYPERLINK("https://www.somogyi.hu/product/home-ik-240-belteri-rovarcsapda-30-m2-hatokorzet-uv-a-feny-rovargyujto-talca-1-x-6-w-fenyforras-ik-240-14418","https://www.somogyi.hu/product/home-ik-240-belteri-rovarcsapda-30-m2-hatokorzet-uv-a-feny-rovargyujto-talca-1-x-6-w-fenyforras-ik-240-14418")</f>
        <v>0.0</v>
      </c>
      <c r="E698" s="7" t="n">
        <f>HYPERLINK("https://www.somogyi.hu/data/img/product_main_images/small/14418.jpg","https://www.somogyi.hu/data/img/product_main_images/small/14418.jpg")</f>
        <v>0.0</v>
      </c>
      <c r="F698" s="2" t="inlineStr">
        <is>
          <t>5999084924669</t>
        </is>
      </c>
      <c r="G698" s="4" t="inlineStr">
        <is>
          <t>Védekezzen hatékonyan a rovarok ellen az IK 240-es elektromos beltéri rovarcsapdával! Ne engedje, hogy a legyek, szúnyogok és más rovarok veszélyes fertőzéseket terjesszenek otthonában. A könnyen használható és tisztítható rovarcsapda 30 m²-es hatókörzettel rendelkezik, így kifejezetten alkalmas a kisebb beltéri helyiségek rovarmentesítésére. A csapda 13,5 X 13,5 X 32,5 cm-es mérete pedig tökéletesen illeszkedik otthonának bármely részébe. Vásároljon bizalommal webáruházunkból és élvezze az elektromos beltéri rovarcsapda által nyújtott hatékony védelmet!</t>
        </is>
      </c>
    </row>
    <row r="699">
      <c r="A699" s="6" t="inlineStr">
        <is>
          <t xml:space="preserve">   Rovarriasztó, rágcsálóriasztó, szúnyogháló / Kisállatriasztó, rágcsálóriasztó, rovarriasztó</t>
        </is>
      </c>
      <c r="B699" s="6" t="inlineStr">
        <is>
          <t/>
        </is>
      </c>
      <c r="C699" s="6" t="inlineStr">
        <is>
          <t/>
        </is>
      </c>
      <c r="D699" s="6" t="inlineStr">
        <is>
          <t/>
        </is>
      </c>
      <c r="E699" s="6" t="inlineStr">
        <is>
          <t/>
        </is>
      </c>
      <c r="F699" s="6" t="inlineStr">
        <is>
          <t/>
        </is>
      </c>
      <c r="G699" s="6" t="inlineStr">
        <is>
          <t/>
        </is>
      </c>
    </row>
    <row r="700">
      <c r="A700" s="3" t="inlineStr">
        <is>
          <t>UH 10</t>
        </is>
      </c>
      <c r="B700" s="2" t="inlineStr">
        <is>
          <t>Home UH 10 ultrahangos rovarriasztó, 30 m2 hatókörzet, zárt térben, konnektoros</t>
        </is>
      </c>
      <c r="C700" s="1" t="n">
        <v>1250.0</v>
      </c>
      <c r="D700" s="7" t="n">
        <f>HYPERLINK("https://www.somogyi.hu/product/home-uh-10-ultrahangos-rovarriaszto-30-m2-hatokorzet-zart-terben-konnektoros-uh-10-14404","https://www.somogyi.hu/product/home-uh-10-ultrahangos-rovarriaszto-30-m2-hatokorzet-zart-terben-konnektoros-uh-10-14404")</f>
        <v>0.0</v>
      </c>
      <c r="E700" s="7" t="n">
        <f>HYPERLINK("https://www.somogyi.hu/data/img/product_main_images/small/14404.jpg","https://www.somogyi.hu/data/img/product_main_images/small/14404.jpg")</f>
        <v>0.0</v>
      </c>
      <c r="F700" s="2" t="inlineStr">
        <is>
          <t>5999084924522</t>
        </is>
      </c>
      <c r="G700" s="4" t="inlineStr">
        <is>
          <t>Ön is nehezen viseli el a melegben megjelenő rovarok hadát? Netalántán a közeljövőben olyan helyre tervez elutazni, ahol garantáltan számíthat a szúnyogok és legyek tömkelegére? Ez esetben érdemes beszereznie egy kisméretű ultrahangos rovarriasztót. Az UH 10-es típusú rovarriasztó a kis méret és könnyed hordozhatóság mellett számtalan egyéb praktikus tulajdonsággal is rendelkezik, amelyek közül kiemelendő a 30 m²-es hatókörzete. Emellett használata megoldható bármilyen árammal ellátott konnektorban. Ha Ön is az egyszerű és praktikus megoldások híve, akkor ebben termékben garantáltan nem fog csalódni.</t>
        </is>
      </c>
    </row>
    <row r="701">
      <c r="A701" s="3" t="inlineStr">
        <is>
          <t>IN 25304</t>
        </is>
      </c>
      <c r="B701" s="2" t="inlineStr">
        <is>
          <t>Home IN 25304 elektromos egér- és patkányriasztó, 30 m2 hatókörzet / egység, ultrahang, beltéri, konnektoros, 2 db</t>
        </is>
      </c>
      <c r="C701" s="1" t="n">
        <v>15990.0</v>
      </c>
      <c r="D701" s="7" t="n">
        <f>HYPERLINK("https://www.somogyi.hu/product/home-in-25304-elektromos-eger-es-patkanyriaszto-30-m2-hatokorzet-egyseg-ultrahang-belteri-konnektoros-2-db-in-25304-16866","https://www.somogyi.hu/product/home-in-25304-elektromos-eger-es-patkanyriaszto-30-m2-hatokorzet-egyseg-ultrahang-belteri-konnektoros-2-db-in-25304-16866")</f>
        <v>0.0</v>
      </c>
      <c r="E701" s="7" t="n">
        <f>HYPERLINK("https://www.somogyi.hu/data/img/product_main_images/small/16866.jpg","https://www.somogyi.hu/data/img/product_main_images/small/16866.jpg")</f>
        <v>0.0</v>
      </c>
      <c r="F701" s="2" t="inlineStr">
        <is>
          <t>7350007336590</t>
        </is>
      </c>
      <c r="G701" s="4" t="inlineStr">
        <is>
          <t>A minőségi, megbízható svéd Silverline IN 25304 Elektromos egér- és patkányriasztó ultrahangos jelkibocsájtással képes beltéren elriasztani a rágcsálókat akár 30 m2 hatótávolságon belül készülékenként. A csomagolás 2 db terméket tartalmaz. 
Környezetbarát kivitelben, méreg felhasználása nélkül működik, így a gyerekekre, háziállatokra ártalmatlan. 
Tápellátása 230 V. 
Használja a környezetbarát elektromos egér- és patkányriasztót a rágcsálók elriasztására.</t>
        </is>
      </c>
    </row>
    <row r="702">
      <c r="A702" s="3" t="inlineStr">
        <is>
          <t>IN 25306</t>
        </is>
      </c>
      <c r="B702" s="2" t="inlineStr">
        <is>
          <t>Home IN 25306 elektromos egér- és patkányriasztó, 80 m2 / 200 m2 hatókörzet, ultrahang és elektromágneses impulzus, beltéri, konnektoros</t>
        </is>
      </c>
      <c r="C702" s="1" t="n">
        <v>23190.0</v>
      </c>
      <c r="D702" s="7" t="n">
        <f>HYPERLINK("https://www.somogyi.hu/product/home-in-25306-elektromos-eger-es-patkanyriaszto-80-m2-200-m2-hatokorzet-ultrahang-es-elektromagneses-impulzus-belteri-konnektoros-in-25306-16868","https://www.somogyi.hu/product/home-in-25306-elektromos-eger-es-patkanyriaszto-80-m2-200-m2-hatokorzet-ultrahang-es-elektromagneses-impulzus-belteri-konnektoros-in-25306-16868")</f>
        <v>0.0</v>
      </c>
      <c r="E702" s="7" t="n">
        <f>HYPERLINK("https://www.somogyi.hu/data/img/product_main_images/small/16868.jpg","https://www.somogyi.hu/data/img/product_main_images/small/16868.jpg")</f>
        <v>0.0</v>
      </c>
      <c r="F702" s="2" t="inlineStr">
        <is>
          <t>7350007336637</t>
        </is>
      </c>
      <c r="G702" s="4" t="inlineStr">
        <is>
          <t>A minőségi, megbízható svéd Silverline IN 25306 Elektromos egér- és patkányriasztó ultrahang és elektromágneses impulzus kombinációjával képes beltéren elriasztani a rágcsálókat. Az ultrahang 80 m2, az elektromágneses impulzus 200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03">
      <c r="A703" s="3" t="inlineStr">
        <is>
          <t>IN 22142</t>
        </is>
      </c>
      <c r="B703" s="2" t="inlineStr">
        <is>
          <t>Mechanikus patkányfogó</t>
        </is>
      </c>
      <c r="C703" s="1" t="n">
        <v>1550.0</v>
      </c>
      <c r="D703" s="7" t="n">
        <f>HYPERLINK("https://www.somogyi.hu/product/mechanikus-patkanyfogo-in-22142-16892","https://www.somogyi.hu/product/mechanikus-patkanyfogo-in-22142-16892")</f>
        <v>0.0</v>
      </c>
      <c r="E703" s="7" t="n">
        <f>HYPERLINK("https://www.somogyi.hu/data/img/product_main_images/small/16892.jpg","https://www.somogyi.hu/data/img/product_main_images/small/16892.jpg")</f>
        <v>0.0</v>
      </c>
      <c r="F703" s="2" t="inlineStr">
        <is>
          <t>7350007336774</t>
        </is>
      </c>
      <c r="G703" s="4" t="inlineStr">
        <is>
          <t>Az IN 22142 Silverline Mechanikus patkányfogóval egyszerűen és hatékonyan szabadulhat meg a rágcsálóktól!  A készülékbe többféle csalit tölthet a mérgező anyagokat elkerülve, ezért gyermekek és kisállatok számára biztonságos. Az innovatív kialakítás lehetővé teszi a két patkánycsapda összekapcsolását, így növelve az elfogási eredményességet. Ne habozzon, és válassza az IN 22142 Silverline Mechanikus patkányfogót a patkányok hatékony és biztonságos elfogásához!</t>
        </is>
      </c>
    </row>
    <row r="704">
      <c r="A704" s="3" t="inlineStr">
        <is>
          <t>IN 22150</t>
        </is>
      </c>
      <c r="B704" s="2" t="inlineStr">
        <is>
          <t>Silverline mechanikus egérfogó</t>
        </is>
      </c>
      <c r="C704" s="1" t="n">
        <v>1390.0</v>
      </c>
      <c r="D704" s="7" t="n">
        <f>HYPERLINK("https://www.somogyi.hu/product/silverline-mechanikus-egerfogo-in-22150-16889","https://www.somogyi.hu/product/silverline-mechanikus-egerfogo-in-22150-16889")</f>
        <v>0.0</v>
      </c>
      <c r="E704" s="7" t="n">
        <f>HYPERLINK("https://www.somogyi.hu/data/img/product_main_images/small/16889.jpg","https://www.somogyi.hu/data/img/product_main_images/small/16889.jpg")</f>
        <v>0.0</v>
      </c>
      <c r="F704" s="2" t="inlineStr">
        <is>
          <t>7350007337085</t>
        </is>
      </c>
      <c r="G704" s="4" t="inlineStr">
        <is>
          <t>A Silverline IN 22150 Mechanikus egérfogó hatékony megoldást nyújt a kisebb rágcsálók elfogására. A készülékbe többféle csalit tölthet a mérgező anyagokat elkerülve, ezért gyermekek és kisállatok számára biztonságos. Egyedi mechanizmusának köszönhetően könnyen üríthető és újra használható az egérfogó.</t>
        </is>
      </c>
    </row>
    <row r="705">
      <c r="A705" s="3" t="inlineStr">
        <is>
          <t>IN 25342</t>
        </is>
      </c>
      <c r="B705" s="2" t="inlineStr">
        <is>
          <t>Home IN 25342 elektromos pókriasztó, 30 m2 hatókörzet, kettős frekvenciájú ultrahang, beltéri, konnektoros</t>
        </is>
      </c>
      <c r="C705" s="1" t="n">
        <v>10790.0</v>
      </c>
      <c r="D705" s="7" t="n">
        <f>HYPERLINK("https://www.somogyi.hu/product/home-in-25342-elektromos-pokriaszto-30-m2-hatokorzet-kettos-frekvenciaju-ultrahang-belteri-konnektoros-in-25342-16873","https://www.somogyi.hu/product/home-in-25342-elektromos-pokriaszto-30-m2-hatokorzet-kettos-frekvenciaju-ultrahang-belteri-konnektoros-in-25342-16873")</f>
        <v>0.0</v>
      </c>
      <c r="E705" s="7" t="n">
        <f>HYPERLINK("https://www.somogyi.hu/data/img/product_main_images/small/16873.jpg","https://www.somogyi.hu/data/img/product_main_images/small/16873.jpg")</f>
        <v>0.0</v>
      </c>
      <c r="F705" s="2" t="inlineStr">
        <is>
          <t>7350007336712</t>
        </is>
      </c>
      <c r="G705" s="4" t="inlineStr">
        <is>
          <t>A minőségi, megbízható svéd Silverline IN 25342 Pókriasztó váltakozó kettős frekvenciájú ultrahangos jelkibocsájtás segítségével riasztja el a pókokat 30 m2 hatótávolságban beltéren.  
Környezetbarát kivitelben, méreg felhasználása nélkül működik, így a gyerekekre, háziállatokra ártalmatlan. 
Tápellátása 230 V.</t>
        </is>
      </c>
    </row>
    <row r="706">
      <c r="A706" s="3" t="inlineStr">
        <is>
          <t>IN 25352</t>
        </is>
      </c>
      <c r="B706" s="2" t="inlineStr">
        <is>
          <t>Home IN 25352 elektromos nyestriasztó, 50 m2 hatókörzet, ultrahang, beltéri</t>
        </is>
      </c>
      <c r="C706" s="1" t="n">
        <v>23790.0</v>
      </c>
      <c r="D706" s="7" t="n">
        <f>HYPERLINK("https://www.somogyi.hu/product/home-in-25352-elektromos-nyestriaszto-50-m2-hatokorzet-ultrahang-belteri-in-25352-16872","https://www.somogyi.hu/product/home-in-25352-elektromos-nyestriaszto-50-m2-hatokorzet-ultrahang-belteri-in-25352-16872")</f>
        <v>0.0</v>
      </c>
      <c r="E706" s="7" t="n">
        <f>HYPERLINK("https://www.somogyi.hu/data/img/product_main_images/small/16872.jpg","https://www.somogyi.hu/data/img/product_main_images/small/16872.jpg")</f>
        <v>0.0</v>
      </c>
      <c r="F706" s="2" t="inlineStr">
        <is>
          <t>7350007336705</t>
        </is>
      </c>
      <c r="G706" s="4" t="inlineStr">
        <is>
          <t>A minőségi, megbízható svéd Silverline IN 25352 Elemes nyestriasztó ultrahangos jelkibocsájtással képes beltéren elriasztani a nyesteket akár 50 m2 hatótávolságon belül. 
Környezetbarát kivitelben, méreg felhasználása nélkül működik, így a gyerekekre, háziállatokra ártalmatlan. 
Tápellátásához 3 db 1,5 V (LR 14) elem szükséges. 
Használja a környezetbarát nyestriasztó készüléket, megkímélve magát a nyest okozta károktól, valamint az autó kábelek védelme érdekében.</t>
        </is>
      </c>
    </row>
    <row r="707">
      <c r="A707" s="3" t="inlineStr">
        <is>
          <t>IN 25131</t>
        </is>
      </c>
      <c r="B707" s="2" t="inlineStr">
        <is>
          <t>Home IN 25131 vakondriasztó karó, 1250 m2 hatókörzet, alacsony frekvenciasáv, 38 cm</t>
        </is>
      </c>
      <c r="C707" s="1" t="n">
        <v>18290.0</v>
      </c>
      <c r="D707" s="7" t="n">
        <f>HYPERLINK("https://www.somogyi.hu/product/home-in-25131-vakondriaszto-karo-1250-m2-hatokorzet-alacsony-frekvenciasav-38-cm-in-25131-16870","https://www.somogyi.hu/product/home-in-25131-vakondriaszto-karo-1250-m2-hatokorzet-alacsony-frekvenciasav-38-cm-in-25131-16870")</f>
        <v>0.0</v>
      </c>
      <c r="E707" s="7" t="n">
        <f>HYPERLINK("https://www.somogyi.hu/data/img/product_main_images/small/16870.jpg","https://www.somogyi.hu/data/img/product_main_images/small/16870.jpg")</f>
        <v>0.0</v>
      </c>
      <c r="F707" s="2" t="inlineStr">
        <is>
          <t>7350007336675</t>
        </is>
      </c>
      <c r="G707" s="4" t="inlineStr">
        <is>
          <t>A Silverline IN 25131 Vakondriasztó karó nagyon egyszerű megoldás, hogy a kertjét messziről elkerüljék a vakondok. Alacsony frekvenciájú hangokat kibocsájtva riasztja el a földalatti rágcsálókat talajtípustól függően akár 1250 m2 hatótávolságban. 
Tápellátásáról 4 db 1,5 V (D) elem gondoskodik, melyet nem tartalmaz a csomagolás. 
A vakondriasztó karó 38 cm nagyságú.</t>
        </is>
      </c>
    </row>
    <row r="708">
      <c r="A708" s="3" t="inlineStr">
        <is>
          <t>IN 25308</t>
        </is>
      </c>
      <c r="B708" s="2" t="inlineStr">
        <is>
          <t>Home IN 25308 elektromos egér- és patkányriasztó, 130 m2 / 400 m2 hatókörzet, ultrahang és elektromágneses impulzus, beltéri, konnektoros</t>
        </is>
      </c>
      <c r="C708" s="1" t="n">
        <v>30790.0</v>
      </c>
      <c r="D708" s="7" t="n">
        <f>HYPERLINK("https://www.somogyi.hu/product/home-in-25308-elektromos-eger-es-patkanyriaszto-130-m2-400-m2-hatokorzet-ultrahang-es-elektromagneses-impulzus-belteri-konnektoros-in-25308-16869","https://www.somogyi.hu/product/home-in-25308-elektromos-eger-es-patkanyriaszto-130-m2-400-m2-hatokorzet-ultrahang-es-elektromagneses-impulzus-belteri-konnektoros-in-25308-16869")</f>
        <v>0.0</v>
      </c>
      <c r="E708" s="7" t="n">
        <f>HYPERLINK("https://www.somogyi.hu/data/img/product_main_images/small/16869.jpg","https://www.somogyi.hu/data/img/product_main_images/small/16869.jpg")</f>
        <v>0.0</v>
      </c>
      <c r="F708" s="2" t="inlineStr">
        <is>
          <t>7350007336651</t>
        </is>
      </c>
      <c r="G708" s="4" t="inlineStr">
        <is>
          <t>A minőségi, megbízható svéd Silverline IN 25308 Elektromos egér- és patkányriasztó ultrahang és elektromágneses impulzus kombinációjával képes beltéren elriasztani a rágcsálókat. Az ultrahang 130 m2, az elektromágneses impulzus 400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09">
      <c r="A709" s="3" t="inlineStr">
        <is>
          <t>DOG 01</t>
        </is>
      </c>
      <c r="B709" s="2" t="inlineStr">
        <is>
          <t>Home DOG 01 hordozható kutyariasztó, 10 m hatótáv, 25 kHz frekvencia, LED jelzőfény</t>
        </is>
      </c>
      <c r="C709" s="1" t="n">
        <v>2590.0</v>
      </c>
      <c r="D709" s="7" t="n">
        <f>HYPERLINK("https://www.somogyi.hu/product/home-dog-01-hordozhato-kutyariaszto-10-m-hatotav-25-khz-frekvencia-led-jelzofeny-dog-01-17047","https://www.somogyi.hu/product/home-dog-01-hordozhato-kutyariaszto-10-m-hatotav-25-khz-frekvencia-led-jelzofeny-dog-01-17047")</f>
        <v>0.0</v>
      </c>
      <c r="E709" s="7" t="n">
        <f>HYPERLINK("https://www.somogyi.hu/data/img/product_main_images/small/17047.jpg","https://www.somogyi.hu/data/img/product_main_images/small/17047.jpg")</f>
        <v>0.0</v>
      </c>
      <c r="F709" s="2" t="inlineStr">
        <is>
          <t>5999084950798</t>
        </is>
      </c>
      <c r="G709" s="4" t="inlineStr">
        <is>
          <t>A hordozható kutyariasztó hangjelzéssel riasztja el és tartja távol a kutyákat, mely 25 kHz –es frekvencián működik és a hangja az emberi fül számára teljesen hallhatatlan.
A működését LED fény jelzi és a hatótávolsága 10 méter és a tartozékul szolgáló csuklópánttal könnyedén rögzíthetjük.
Ajánlatos a használata séták alkalmával kutyatámadások elkerülésére, postások és személyes átvételű csomagkiszállítók, díjbeszedők, mérőóra leolvasók egészségmegőrzése céljából.</t>
        </is>
      </c>
    </row>
    <row r="710">
      <c r="A710" s="3" t="inlineStr">
        <is>
          <t>VK 02</t>
        </is>
      </c>
      <c r="B710" s="2" t="inlineStr">
        <is>
          <t>Home VK 02 vakondriasztó karó, hangrezgés, 800 m2 hatókörzet, 400 - 1000 Hz, rágcsálók</t>
        </is>
      </c>
      <c r="C710" s="1" t="n">
        <v>2490.0</v>
      </c>
      <c r="D710" s="7" t="n">
        <f>HYPERLINK("https://www.somogyi.hu/product/home-vk-02-vakondriaszto-karo-hangrezges-800-m2-hatokorzet-400-1000-hz-ragcsalok-vk-02-17048","https://www.somogyi.hu/product/home-vk-02-vakondriaszto-karo-hangrezges-800-m2-hatokorzet-400-1000-hz-ragcsalok-vk-02-17048")</f>
        <v>0.0</v>
      </c>
      <c r="E710" s="7" t="n">
        <f>HYPERLINK("https://www.somogyi.hu/data/img/product_main_images/small/17048.jpg","https://www.somogyi.hu/data/img/product_main_images/small/17048.jpg")</f>
        <v>0.0</v>
      </c>
      <c r="F710" s="2" t="inlineStr">
        <is>
          <t>5999084950804</t>
        </is>
      </c>
      <c r="G710" s="4" t="inlineStr">
        <is>
          <t>VK 02 hangjelzése nem csupán elriasztja, hanem távol is tarja a kerti károkozókat (vakond, mezei pocok, földikutya). A készülék 50 mp-ként bocsájt ki rezgést. A jelzések embert és más állatot (kutya, macska) nem zavarnak. A talaj minőségétől függően akár 800 m2 -es terület védelmére alkalmas. A hatékonyabb működéshez célszerű 20 m-ként elhelyezni egy-egy készüléket úgy, hogy annak fekete szárából kb. 3 cm látszódjon ki. A tápellátást szolgáló 3 db LR20 (D) elemet (nem tartozék) a riasztó kupakjának letekerése után tudja a készülékben elhelyezni. Ügyeljen a kupak megfelelő rögzítésére, hogy ne folyhasson víz a készülék belsejébe!</t>
        </is>
      </c>
    </row>
    <row r="711">
      <c r="A711" s="3" t="inlineStr">
        <is>
          <t>VKS 02</t>
        </is>
      </c>
      <c r="B711" s="2" t="inlineStr">
        <is>
          <t>Home VKS 02 napelemes vakondriasztó karó, hangrezgés, 350 m2 hatókörzet, szolárpanel, 400 - 1000 Hz, rágcsálók</t>
        </is>
      </c>
      <c r="C711" s="1" t="n">
        <v>3690.0</v>
      </c>
      <c r="D711" s="7" t="n">
        <f>HYPERLINK("https://www.somogyi.hu/product/home-vks-02-napelemes-vakondriaszto-karo-hangrezges-350-m2-hatokorzet-szolarpanel-400-1000-hz-ragcsalok-vks-02-13329","https://www.somogyi.hu/product/home-vks-02-napelemes-vakondriaszto-karo-hangrezges-350-m2-hatokorzet-szolarpanel-400-1000-hz-ragcsalok-vks-02-13329")</f>
        <v>0.0</v>
      </c>
      <c r="E711" s="7" t="n">
        <f>HYPERLINK("https://www.somogyi.hu/data/img/product_main_images/small/13329.jpg","https://www.somogyi.hu/data/img/product_main_images/small/13329.jpg")</f>
        <v>0.0</v>
      </c>
      <c r="F711" s="2" t="inlineStr">
        <is>
          <t>5999084914158</t>
        </is>
      </c>
      <c r="G711" s="4" t="inlineStr">
        <is>
          <t>Zavarja, hogy az udvarában gyakorta felütik a fejüket a vakondtúrások? Tudta, hogy amellett, hogy a vakondok otromba túrásokat hagynak maguk után, jelentősen rontják az adott talajnak a minőségét is? Ha mindezt Ön sem szeretné, akkor a VKS 02-es típusú napelemes vakondriasztó karóra lesz szüksége! A vakondriasztó karó az előnyös szerkezeti kialakításának köszönhetően olyan rezgést bocsájt ki, amely hatékonyan elriasztja a földalatti rágcsálókat. A rezgéseket 30 mp-enként ismétlődnek, így garantálva az állandó rágcsáló elleni védelmet. A beépített akkumulátorának köszönhetően pedig sötétben is működőképes marad. A napelemes karó 350 m²-es hatóterülettel rendelkezik ezért kifejezetten ajánlott azok számára, akik egy kisebb udvar védelmét szeretnék biztosítani.</t>
        </is>
      </c>
    </row>
    <row r="712">
      <c r="A712" s="3" t="inlineStr">
        <is>
          <t>IN 25370</t>
        </is>
      </c>
      <c r="B712" s="2" t="inlineStr">
        <is>
          <t>Home IN 25370 elektromos szúnyogriasztó, 25 m2 hatókörzet, ultrahang, beltéri</t>
        </is>
      </c>
      <c r="C712" s="1" t="n">
        <v>11890.0</v>
      </c>
      <c r="D712" s="7" t="n">
        <f>HYPERLINK("https://www.somogyi.hu/product/home-in-25370-elektromos-szunyogriaszto-25-m2-hatokorzet-ultrahang-belteri-in-25370-16874","https://www.somogyi.hu/product/home-in-25370-elektromos-szunyogriaszto-25-m2-hatokorzet-ultrahang-belteri-in-25370-16874")</f>
        <v>0.0</v>
      </c>
      <c r="E712" s="7" t="n">
        <f>HYPERLINK("https://www.somogyi.hu/data/img/product_main_images/small/16874.jpg","https://www.somogyi.hu/data/img/product_main_images/small/16874.jpg")</f>
        <v>0.0</v>
      </c>
      <c r="F712" s="2" t="inlineStr">
        <is>
          <t>7350007336729</t>
        </is>
      </c>
      <c r="G712" s="4" t="inlineStr">
        <is>
          <t>A minőségi, megbízható svéd Silverline IN 25370 Elektromos szúnyogriasztó váltakozó kettős frekvenciájú ultrahangos jelkibocsájtás segítségével riasztja el a szúnyogokat 25 m2 hatótávolságban beltéren. 
Környezetbarát kivitelben, méreg felhasználása nélkül működik, így a gyerekekre, háziállatokra ártalmatlan. 
Tápellátása 230 V. 
Ha Ön is zavartalanul szeretne pihenni nyáron, úgy válassza az elektromos szúnyogriasztó készüléket, garantáltan elkerülik a szúnyogok és ez általa a kellemetlen viszkető csípések is.</t>
        </is>
      </c>
    </row>
    <row r="713">
      <c r="A713" s="3" t="inlineStr">
        <is>
          <t>VK 01</t>
        </is>
      </c>
      <c r="B713" s="2" t="inlineStr">
        <is>
          <t>Home VK 01 vakondriasztó karó, hangrezgés, 2000 m2 hatókörzet, alacsony fogyasztás, rágcsálók</t>
        </is>
      </c>
      <c r="C713" s="1" t="n">
        <v>7290.0</v>
      </c>
      <c r="D713" s="7" t="n">
        <f>HYPERLINK("https://www.somogyi.hu/product/home-vk-01-vakondriaszto-karo-hangrezges-2000-m2-hatokorzet-alacsony-fogyasztas-ragcsalok-vk-01-7649","https://www.somogyi.hu/product/home-vk-01-vakondriaszto-karo-hangrezges-2000-m2-hatokorzet-alacsony-fogyasztas-ragcsalok-vk-01-7649")</f>
        <v>0.0</v>
      </c>
      <c r="E713" s="7" t="n">
        <f>HYPERLINK("https://www.somogyi.hu/data/img/product_main_images/small/07649.jpg","https://www.somogyi.hu/data/img/product_main_images/small/07649.jpg")</f>
        <v>0.0</v>
      </c>
      <c r="F713" s="2" t="inlineStr">
        <is>
          <t>5998177309574</t>
        </is>
      </c>
      <c r="G713" s="4" t="inlineStr">
        <is>
          <t>Nagyméretű földtulajdonnal rendelkezik, és ennek gondozása során rendkívül fontos, hogy a növényzetben ne essen semmiféle kár? Ez esetben Önnek a VK 01-es vakondriasztó karóra lesz szüksége! A vakondriasztó az előnyös szerkezeti tulajdonságának köszönhetően olyan hangrezgéseket bocsájt ki, amelyek garantáltan elriasztják a termésre káros rágcsálókat! (Ilyenek pl. a vakondok, mezei pockok vagy földikutyák.) A VK 01 típus további előnye, hogy az adott talaj minőségétől függően akár 2000 m²-es terület védelmére is alkalmas. Egy garnitúra  elemmel pedig akár 3-4 hónapot is képes működni. Ha Ön mielőbb megszeretne szabadulni a talajban és növényzetben egyaránt károkat okozó rágcsálóktól, akkor ne habozzon és rendelje meg webáruházunkból a vakondriasztó karót!</t>
        </is>
      </c>
    </row>
    <row r="714">
      <c r="A714" s="3" t="inlineStr">
        <is>
          <t>AR 01</t>
        </is>
      </c>
      <c r="B714" s="2" t="inlineStr">
        <is>
          <t>Home AR 01 állatriasztó karó, PIR mozgásérzékelő, ultrahang, fényjelzés, 13 - 60 kHz, napelem</t>
        </is>
      </c>
      <c r="C714" s="1" t="n">
        <v>8690.0</v>
      </c>
      <c r="D714" s="7" t="n">
        <f>HYPERLINK("https://www.somogyi.hu/product/home-ar-01-allatriaszto-karo-pir-mozgaserzekelo-ultrahang-fenyjelzes-13-60-khz-napelem-ar-01-17049","https://www.somogyi.hu/product/home-ar-01-allatriaszto-karo-pir-mozgaserzekelo-ultrahang-fenyjelzes-13-60-khz-napelem-ar-01-17049")</f>
        <v>0.0</v>
      </c>
      <c r="E714" s="7" t="n">
        <f>HYPERLINK("https://www.somogyi.hu/data/img/product_main_images/small/17049.jpg","https://www.somogyi.hu/data/img/product_main_images/small/17049.jpg")</f>
        <v>0.0</v>
      </c>
      <c r="F714" s="2" t="inlineStr">
        <is>
          <t>5999084950811</t>
        </is>
      </c>
      <c r="G714" s="4" t="inlineStr">
        <is>
          <t>Az állatriasztó karó a kertjében vagy udvarában kóborló állatok távoltartására tökéletes megoldás.
A karót a talajba letűzve, nappal ultrahanggal, éjjel fényjelzéssel és ultrahanggal riasztja el a nem kívánt kóbor kutyákat, alkalmas macska, róka, nyest és kisebb rágcsálók elijesztésére is.
Egyszerűen tűzze a karót a talajba és máris élvezheti annak előnyeit. A készülék 13-60 KHz frekvenciával működik, és 8 méteres körzetben, 120 fokos mozgásérzékelési sávban tartja távol a nem kívánt betolakodókat. Ne hagyja, hogy az állatok lerombolják a kertjét, válassaz az állatriasztó karót!</t>
        </is>
      </c>
    </row>
    <row r="715">
      <c r="A715" s="3" t="inlineStr">
        <is>
          <t>IN 25301</t>
        </is>
      </c>
      <c r="B715" s="2" t="inlineStr">
        <is>
          <t>Home IN 25301 elektromos egér- és patkányriasztó, 50 m2 hatókörzet, ultrahang, beltéri, konnektoros</t>
        </is>
      </c>
      <c r="C715" s="1" t="n">
        <v>11890.0</v>
      </c>
      <c r="D715" s="7" t="n">
        <f>HYPERLINK("https://www.somogyi.hu/product/home-in-25301-elektromos-eger-es-patkanyriaszto-50-m2-hatokorzet-ultrahang-belteri-konnektoros-in-25301-16865","https://www.somogyi.hu/product/home-in-25301-elektromos-eger-es-patkanyriaszto-50-m2-hatokorzet-ultrahang-belteri-konnektoros-in-25301-16865")</f>
        <v>0.0</v>
      </c>
      <c r="E715" s="7" t="n">
        <f>HYPERLINK("https://www.somogyi.hu/data/img/product_main_images/small/16865.jpg","https://www.somogyi.hu/data/img/product_main_images/small/16865.jpg")</f>
        <v>0.0</v>
      </c>
      <c r="F715" s="2" t="inlineStr">
        <is>
          <t>7350007336576</t>
        </is>
      </c>
      <c r="G715" s="4" t="inlineStr">
        <is>
          <t>A minőségi, megbízható svéd Silverline IN 25301 Elektromos egér- és patkányriasztó ultrahangos jelkibocsájtással képes beltéren elriasztani a rágcsálókat akár 50 m2 hatótávolságon belül. 
Környezetbarát kivitelben, méreg felhasználása nélkül működik, így a gyerekekre, háziállatokra ártalmatlan. 
Tápellátása 230 V. 
Használja a környezetbarát elektromos egér- és patkányriasztót a rágcsálók elriasztására.</t>
        </is>
      </c>
    </row>
    <row r="716">
      <c r="A716" s="3" t="inlineStr">
        <is>
          <t>VKS 04</t>
        </is>
      </c>
      <c r="B716" s="2" t="inlineStr">
        <is>
          <t>Home VKS 04 napelemes vakondriasztó karó, LED fény, hangrezgés, 800 m2 hatókörzet, szolárpanel, 400 - 1000 Hz, rágcsálók</t>
        </is>
      </c>
      <c r="C716" s="1" t="n">
        <v>4290.0</v>
      </c>
      <c r="D716" s="7" t="n">
        <f>HYPERLINK("https://www.somogyi.hu/product/home-vks-04-napelemes-vakondriaszto-karo-led-feny-hangrezges-800-m2-hatokorzet-szolarpanel-400-1000-hz-ragcsalok-vks-04-14332","https://www.somogyi.hu/product/home-vks-04-napelemes-vakondriaszto-karo-led-feny-hangrezges-800-m2-hatokorzet-szolarpanel-400-1000-hz-ragcsalok-vks-04-14332")</f>
        <v>0.0</v>
      </c>
      <c r="E716" s="7" t="n">
        <f>HYPERLINK("https://www.somogyi.hu/data/img/product_main_images/small/14332.jpg","https://www.somogyi.hu/data/img/product_main_images/small/14332.jpg")</f>
        <v>0.0</v>
      </c>
      <c r="F716" s="2" t="inlineStr">
        <is>
          <t>5999084923808</t>
        </is>
      </c>
      <c r="G716" s="4" t="inlineStr">
        <is>
          <t>Zavarja, hogy az birtokán gyakorta felütik a fejüket a vakondtúrások? Mindemellett a nagyobb méretű földterület adottságaiból kifolyólag nem csak esztétikai, hanem jelentős anyagi károk is érhetik? Ez esetben Önnek is a VKS 04-es LED fénnyel ellátott napelemes vakondriasztó karóra lesz szüksége, amely rezgéseivel hatékonyan elriasztja a földalatti rágcsálókat. A beépített akkumulátorának köszönhetően pedig a vakondriasztó a sötétben is folyamatosan üzemelhet. A LED világítás a szár felső részében látható, amely egyben jelzi számunkra az eszköz működését. A karó 50 mp-enként ad ki rezgéseket, amely ennek az ismétlődésnek köszönhetően hatékony védelmet biztosít, akár 800 m²-es területen is. Ha Ön is az ideális vakondriasztót keresi, akkor ne habozzon és rendelje meg most webáruházunkból!</t>
        </is>
      </c>
    </row>
    <row r="717">
      <c r="A717" s="6" t="inlineStr">
        <is>
          <t xml:space="preserve">   Rovarriasztó, rágcsálóriasztó, szúnyogháló / Szúnyogháló</t>
        </is>
      </c>
      <c r="B717" s="6" t="inlineStr">
        <is>
          <t/>
        </is>
      </c>
      <c r="C717" s="6" t="inlineStr">
        <is>
          <t/>
        </is>
      </c>
      <c r="D717" s="6" t="inlineStr">
        <is>
          <t/>
        </is>
      </c>
      <c r="E717" s="6" t="inlineStr">
        <is>
          <t/>
        </is>
      </c>
      <c r="F717" s="6" t="inlineStr">
        <is>
          <t/>
        </is>
      </c>
      <c r="G717" s="6" t="inlineStr">
        <is>
          <t/>
        </is>
      </c>
    </row>
    <row r="718">
      <c r="A718" s="3" t="inlineStr">
        <is>
          <t>ISM 90210</t>
        </is>
      </c>
      <c r="B718" s="2" t="inlineStr">
        <is>
          <t>Home ISM 90210 mágneses szúnyogháló, 90 x 210 cm ajtóra, tépőzár felhelyezés, mágneses záródás</t>
        </is>
      </c>
      <c r="C718" s="1" t="n">
        <v>4990.0</v>
      </c>
      <c r="D718" s="7" t="n">
        <f>HYPERLINK("https://www.somogyi.hu/product/home-ism-90210-magneses-szunyoghalo-90-x-210-cm-ajtora-tepozar-felhelyezes-magneses-zarodas-ism-90210-17599","https://www.somogyi.hu/product/home-ism-90210-magneses-szunyoghalo-90-x-210-cm-ajtora-tepozar-felhelyezes-magneses-zarodas-ism-90210-17599")</f>
        <v>0.0</v>
      </c>
      <c r="E718" s="7" t="n">
        <f>HYPERLINK("https://www.somogyi.hu/data/img/product_main_images/small/17599.jpg","https://www.somogyi.hu/data/img/product_main_images/small/17599.jpg")</f>
        <v>0.0</v>
      </c>
      <c r="F718" s="2" t="inlineStr">
        <is>
          <t>5999084956219</t>
        </is>
      </c>
      <c r="G718" s="4" t="inlineStr">
        <is>
          <t xml:space="preserve"> • méret: ideális 90 x 210 cm méretű ajtóra 
 • tartozékok: öntapadós tépőzárcsík 
 • egyéb: egyszerű felszerelés / mágneses záródás</t>
        </is>
      </c>
    </row>
    <row r="719">
      <c r="A719" s="3" t="inlineStr">
        <is>
          <t>IN 22450</t>
        </is>
      </c>
      <c r="B719" s="2" t="inlineStr">
        <is>
          <t>Szúnyogháló ablakra</t>
        </is>
      </c>
      <c r="C719" s="1" t="n">
        <v>3090.0</v>
      </c>
      <c r="D719" s="7" t="n">
        <f>HYPERLINK("https://www.somogyi.hu/product/szunyoghalo-ablakra-in-22450-16899","https://www.somogyi.hu/product/szunyoghalo-ablakra-in-22450-16899")</f>
        <v>0.0</v>
      </c>
      <c r="E719" s="7" t="n">
        <f>HYPERLINK("https://www.somogyi.hu/data/img/product_main_images/small/16899.jpg","https://www.somogyi.hu/data/img/product_main_images/small/16899.jpg")</f>
        <v>0.0</v>
      </c>
      <c r="F719" s="2" t="inlineStr">
        <is>
          <t>7350007336958</t>
        </is>
      </c>
      <c r="G719" s="4" t="inlineStr">
        <is>
          <t>A Silverline IN 22450 Szúnyogháló ablakra helyezhető, sűrű szövésű antracitszürke poliészter anyagból készült és és tökéletes védelmet nyújt a szúnyogok és más bosszantó rovarok ellen.   A szúnyogháló mérete 130 x 150 cm, és alkalmas bármilyen ablakhoz,  felszerelése nem igényel fúrást, csak egyszerűen ragassza fel a keretre.
A termék magas minőségi anyagokból készült, tartós és hosszú élettartammal rendelkezik.</t>
        </is>
      </c>
    </row>
    <row r="720">
      <c r="A720" s="3" t="inlineStr">
        <is>
          <t>IN 22455</t>
        </is>
      </c>
      <c r="B720" s="2" t="inlineStr">
        <is>
          <t>Szúnyogháló ajtóra</t>
        </is>
      </c>
      <c r="C720" s="1" t="n">
        <v>4790.0</v>
      </c>
      <c r="D720" s="7" t="n">
        <f>HYPERLINK("https://www.somogyi.hu/product/szunyoghalo-ajtora-in-22455-16898","https://www.somogyi.hu/product/szunyoghalo-ajtora-in-22455-16898")</f>
        <v>0.0</v>
      </c>
      <c r="E720" s="7" t="n">
        <f>HYPERLINK("https://www.somogyi.hu/data/img/product_main_images/small/16898.jpg","https://www.somogyi.hu/data/img/product_main_images/small/16898.jpg")</f>
        <v>0.0</v>
      </c>
      <c r="F720" s="2" t="inlineStr">
        <is>
          <t>7350007336972</t>
        </is>
      </c>
      <c r="G720" s="4" t="inlineStr">
        <is>
          <t>A Silverline IN 22455 Szúnyogháló ajtóra helyezhető, sűrű szövésű antracitszürke poliészter anyagból készült. A szúnyogháló felszerelése nem igényel fúrást, csak egyszerűen ragassza fel a keretre.
Mérete 75 x 250 cm. 
A csomagolás 2 db szúnyoghálót tartalmaz.</t>
        </is>
      </c>
    </row>
    <row r="721">
      <c r="A721" s="6" t="inlineStr">
        <is>
          <t xml:space="preserve">   Fűtés, Párátlanítás, Párásítás / Elektromos kandalló</t>
        </is>
      </c>
      <c r="B721" s="6" t="inlineStr">
        <is>
          <t/>
        </is>
      </c>
      <c r="C721" s="6" t="inlineStr">
        <is>
          <t/>
        </is>
      </c>
      <c r="D721" s="6" t="inlineStr">
        <is>
          <t/>
        </is>
      </c>
      <c r="E721" s="6" t="inlineStr">
        <is>
          <t/>
        </is>
      </c>
      <c r="F721" s="6" t="inlineStr">
        <is>
          <t/>
        </is>
      </c>
      <c r="G721" s="6" t="inlineStr">
        <is>
          <t/>
        </is>
      </c>
    </row>
    <row r="722">
      <c r="A722" s="3" t="inlineStr">
        <is>
          <t>FKKF 03</t>
        </is>
      </c>
      <c r="B722" s="2" t="inlineStr">
        <is>
          <t>BOLOGNA keret kandallóbetéthez – Világos sonoma</t>
        </is>
      </c>
      <c r="C722" s="1" t="n">
        <v>112990.0</v>
      </c>
      <c r="D722" s="7" t="n">
        <f>HYPERLINK("https://www.somogyi.hu/product/bologna-keret-kandallobetethez-vilagos-sonoma-fkkf-03-17868","https://www.somogyi.hu/product/bologna-keret-kandallobetethez-vilagos-sonoma-fkkf-03-17868")</f>
        <v>0.0</v>
      </c>
      <c r="E722" s="7" t="n">
        <f>HYPERLINK("https://www.somogyi.hu/data/img/product_main_images/small/17868.jpg","https://www.somogyi.hu/data/img/product_main_images/small/17868.jpg")</f>
        <v>0.0</v>
      </c>
      <c r="F722" s="2" t="inlineStr">
        <is>
          <t>5999084958909</t>
        </is>
      </c>
      <c r="G722" s="4" t="inlineStr">
        <is>
          <t>Az FKKF 03 Bologna keret ideális az FKKI 03 típusú beépíthető elektromos látványkandallóhoz. Alakítsa saját ízlésére kandallóját a világos Sonoma színű kerettel. Ha más stílusra váltana, egyszerűen megteheti, csak válasszon további keret kínálatunkból (FKKF 01, FKKF 02, FKKF 04).</t>
        </is>
      </c>
    </row>
    <row r="723">
      <c r="A723" s="3" t="inlineStr">
        <is>
          <t>FKKF 02</t>
        </is>
      </c>
      <c r="B723" s="2" t="inlineStr">
        <is>
          <t>MILANO keret kandallóbetéthez – Tobacco bükk</t>
        </is>
      </c>
      <c r="C723" s="1" t="n">
        <v>102990.0</v>
      </c>
      <c r="D723" s="7" t="n">
        <f>HYPERLINK("https://www.somogyi.hu/product/milano-keret-kandallobetethez-tobacco-bukk-fkkf-02-17867","https://www.somogyi.hu/product/milano-keret-kandallobetethez-tobacco-bukk-fkkf-02-17867")</f>
        <v>0.0</v>
      </c>
      <c r="E723" s="7" t="n">
        <f>HYPERLINK("https://www.somogyi.hu/data/img/product_main_images/small/17867.jpg","https://www.somogyi.hu/data/img/product_main_images/small/17867.jpg")</f>
        <v>0.0</v>
      </c>
      <c r="F723" s="2" t="inlineStr">
        <is>
          <t>5999084958893</t>
        </is>
      </c>
      <c r="G723" s="4" t="inlineStr">
        <is>
          <t>Az FKKF 02 Milano keret ideális az FKKI 03 típusú beépíthető elektromos látványkandallóhoz. Alakítsa saját ízlésére kandallóját a Tobacco bükk színű kerettel. Ha más stílusra váltana, egyszerűen megteheti, csak válasszon további keret kínálatunkból (FKKF 01, FKKF 03, FKKF 04).</t>
        </is>
      </c>
    </row>
    <row r="724">
      <c r="A724" s="3" t="inlineStr">
        <is>
          <t>FKK 07</t>
        </is>
      </c>
      <c r="B724" s="2" t="inlineStr">
        <is>
          <t>Home FKK 07 szabadon álló panoráma elektromos kandalló, 600W/1200W, fekete</t>
        </is>
      </c>
      <c r="C724" s="1" t="n">
        <v>39190.0</v>
      </c>
      <c r="D724" s="7" t="n">
        <f>HYPERLINK("https://www.somogyi.hu/product/home-fkk-07-szabadon-allo-panorama-elektromos-kandallo-600w-1200w-fekete-fkk-07-17758","https://www.somogyi.hu/product/home-fkk-07-szabadon-allo-panorama-elektromos-kandallo-600w-1200w-fekete-fkk-07-17758")</f>
        <v>0.0</v>
      </c>
      <c r="E724" s="7" t="n">
        <f>HYPERLINK("https://www.somogyi.hu/data/img/product_main_images/small/17758.jpg","https://www.somogyi.hu/data/img/product_main_images/small/17758.jpg")</f>
        <v>0.0</v>
      </c>
      <c r="F724" s="2" t="inlineStr">
        <is>
          <t>5999084957803</t>
        </is>
      </c>
      <c r="G724" s="4" t="inlineStr">
        <is>
          <t>Az FKK 07 elektromos panoráma kandalló nem csak az otthon melegét biztosítja, de valósághű kidolgozásának és üveg tűzterének köszönhetően a szoba látványossága lesz!
Az elektromos kandalló fűtési funkció nélkül is használható, így a valósághű LED lángeffektet és izzó fahasábot önállóan is tudja működtetni. 
600W vagy 1200W fűtési fokozat közül választhat.
A felmelegített levegő a fűtőtest alsó részén található nyíláson áramlik ki. 
A készülék túlmelegedés esetén automatikusan kikapcsol. 
A mechanikus termosztát gondoskodik arról, hogy a hőérzet stabil legyen. 
Mérete (31x53x18 cm) optimális, így bármelyik szobában helyet kaphat.
Teremtsen igazán meghitt pillanatot a hűvös időkben az FKK 07 szabadon álló elektromos kandallóval!</t>
        </is>
      </c>
    </row>
    <row r="725">
      <c r="A725" s="3" t="inlineStr">
        <is>
          <t>FKK BORA BORA</t>
        </is>
      </c>
      <c r="B725" s="2" t="inlineStr">
        <is>
          <t>Home FKKF 01 + FKKI 03 KIT FKK Bora Bora beépíthető elektromos látványkandalló kerettel, fehér</t>
        </is>
      </c>
      <c r="C725" s="1" t="n">
        <v>155990.0</v>
      </c>
      <c r="D725" s="7" t="n">
        <f>HYPERLINK("https://www.somogyi.hu/product/home-fkkf-01-fkki-03-kit-fkk-bora-bora-beepitheto-elektromos-latvanykandallo-kerettel-feher-fkk-bora-bora-17831","https://www.somogyi.hu/product/home-fkkf-01-fkki-03-kit-fkk-bora-bora-beepitheto-elektromos-latvanykandallo-kerettel-feher-fkk-bora-bora-17831")</f>
        <v>0.0</v>
      </c>
      <c r="E725" s="7" t="n">
        <f>HYPERLINK("https://www.somogyi.hu/data/img/product_main_images/small/17831.jpg","https://www.somogyi.hu/data/img/product_main_images/small/17831.jpg")</f>
        <v>0.0</v>
      </c>
      <c r="F725" s="2" t="inlineStr">
        <is>
          <t>5999084958534</t>
        </is>
      </c>
      <c r="G725" s="4" t="inlineStr">
        <is>
          <t>Az FKK BORA BORA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BORA BORA szabadon álló elektromos kandallónkkal!</t>
        </is>
      </c>
    </row>
    <row r="726">
      <c r="A726" s="3" t="inlineStr">
        <is>
          <t>FKKF 01</t>
        </is>
      </c>
      <c r="B726" s="2" t="inlineStr">
        <is>
          <t>BORA BORA keret kandallóbetéthez - Fehér</t>
        </is>
      </c>
      <c r="C726" s="1" t="n">
        <v>77390.0</v>
      </c>
      <c r="D726" s="7" t="n">
        <f>HYPERLINK("https://www.somogyi.hu/product/bora-bora-keret-kandallobetethez-feher-fkkf-01-17866","https://www.somogyi.hu/product/bora-bora-keret-kandallobetethez-feher-fkkf-01-17866")</f>
        <v>0.0</v>
      </c>
      <c r="E726" s="7" t="n">
        <f>HYPERLINK("https://www.somogyi.hu/data/img/product_main_images/small/17866.jpg","https://www.somogyi.hu/data/img/product_main_images/small/17866.jpg")</f>
        <v>0.0</v>
      </c>
      <c r="F726" s="2" t="inlineStr">
        <is>
          <t>5999084958886</t>
        </is>
      </c>
      <c r="G726" s="4" t="inlineStr">
        <is>
          <t>Az FKKF 01 Bora Bora keret ideális az FKKI 03 típusú beépíthető elektromos látványkandallóhoz. Alakítsa saját ízlésére kandallóját a fehér színű kerettel. Ha más stílusra váltana, egyszerűen megteheti, csak válasszon további keret kínálatunkból (FKKF 02, FKKF 03, FKKF 04).</t>
        </is>
      </c>
    </row>
    <row r="727">
      <c r="A727" s="3" t="inlineStr">
        <is>
          <t>FKK 17</t>
        </is>
      </c>
      <c r="B727" s="2" t="inlineStr">
        <is>
          <t>Home FKK 17 falra szerelhető elektromos látványkandalló, 1000W/2000W, heti program, távirányító, íves, fekete</t>
        </is>
      </c>
      <c r="C727" s="1" t="n">
        <v>95990.0</v>
      </c>
      <c r="D727" s="7" t="n">
        <f>HYPERLINK("https://www.somogyi.hu/product/home-fkk-17-falra-szerelheto-elektromos-latvanykandallo-1000w-2000w-heti-program-taviranyito-ives-fekete-fkk-17-16937","https://www.somogyi.hu/product/home-fkk-17-falra-szerelheto-elektromos-latvanykandallo-1000w-2000w-heti-program-taviranyito-ives-fekete-fkk-17-16937")</f>
        <v>0.0</v>
      </c>
      <c r="E727" s="7" t="n">
        <f>HYPERLINK("https://www.somogyi.hu/data/img/product_main_images/small/16937.jpg","https://www.somogyi.hu/data/img/product_main_images/small/16937.jpg")</f>
        <v>0.0</v>
      </c>
      <c r="F727" s="2" t="inlineStr">
        <is>
          <t>5999084949693</t>
        </is>
      </c>
      <c r="G727" s="4" t="inlineStr">
        <is>
          <t>Az FKK 17 Elektromos fali kandalló nem csak az otthon melegét biztosítja, de valósághű kidolgozásának köszönhetően a szoba látványossága lesz. Letisztult kidolgozása által bármely lakásban jól fog mutatni. Az elektromos kandalló fűtési funkció nélkül is használható, így a valósághű LED lángeffektet és izzó fahasábot önállóan is tudja működtetni,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17 elektromos kandallónkkal.</t>
        </is>
      </c>
    </row>
    <row r="728">
      <c r="A728" s="3" t="inlineStr">
        <is>
          <t>FKK 24</t>
        </is>
      </c>
      <c r="B728" s="2" t="inlineStr">
        <is>
          <t>Home FKK 24 falra szerelhető vagy talpra állítható elektromos látványkandalló, 900W/1800W, heti program, távirányító, fekete</t>
        </is>
      </c>
      <c r="C728" s="1" t="n">
        <v>127990.0</v>
      </c>
      <c r="D728" s="7" t="n">
        <f>HYPERLINK("https://www.somogyi.hu/product/home-fkk-24-falra-szerelheto-vagy-talpra-allithato-elektromos-latvanykandallo-900w-1800w-heti-program-taviranyito-fekete-fkk-24-17759","https://www.somogyi.hu/product/home-fkk-24-falra-szerelheto-vagy-talpra-allithato-elektromos-latvanykandallo-900w-1800w-heti-program-taviranyito-fekete-fkk-24-17759")</f>
        <v>0.0</v>
      </c>
      <c r="E728" s="7" t="n">
        <f>HYPERLINK("https://www.somogyi.hu/data/img/product_main_images/small/17759.jpg","https://www.somogyi.hu/data/img/product_main_images/small/17759.jpg")</f>
        <v>0.0</v>
      </c>
      <c r="F728" s="2" t="inlineStr">
        <is>
          <t>5999084957810</t>
        </is>
      </c>
      <c r="G728" s="4" t="inlineStr">
        <is>
          <t>Az FKK 24 elektromos kandalló nemcsak az otthon melegét biztosítja, de letisztult kidolgozásának köszönhetően a lakásának páratlan látványossága lesz. Falra szerelhető vagy talpon álló kivitelben is használható.
Az elektromos kandalló fűtési funkció nélkül is alkalmazható, így a valósághű lángeffektet önállóan is tudja működtetni, valamint a fényerő is szabályozható.
900W vagy 1800W fűtési fokozat közül választhat. Biztonságos használatot garantál, mivel túlmelegedés esetén automatikusan kikapcsol.
Hasznos tulajdonságai még az elektromos termosztát és a heti program időzítés. Tartozékként szállítjuk a hozzá tartozó távirányítót. 
Teremtsen igazán meghitt pillanatokat a hűvös időkben az FKK 24 elektromos kandallónkkal.</t>
        </is>
      </c>
    </row>
    <row r="729">
      <c r="A729" s="3" t="inlineStr">
        <is>
          <t>FKK 10</t>
        </is>
      </c>
      <c r="B729" s="2" t="inlineStr">
        <is>
          <t>Home FKK 10 szabadon álló elektromos kandalló, panoráma, 1000W/2000W, fehér, 8 tűztér világítási mód</t>
        </is>
      </c>
      <c r="C729" s="1" t="n">
        <v>175990.0</v>
      </c>
      <c r="D729" s="7" t="n">
        <f>HYPERLINK("https://www.somogyi.hu/product/home-fkk-10-szabadon-allo-elektromos-kandallo-panorama-1000w-2000w-feher-8-tuzter-vilagitasi-mod-fkk-10-17760","https://www.somogyi.hu/product/home-fkk-10-szabadon-allo-elektromos-kandallo-panorama-1000w-2000w-feher-8-tuzter-vilagitasi-mod-fkk-10-17760")</f>
        <v>0.0</v>
      </c>
      <c r="E729" s="7" t="n">
        <f>HYPERLINK("https://www.somogyi.hu/data/img/product_main_images/small/17760.jpg","https://www.somogyi.hu/data/img/product_main_images/small/17760.jpg")</f>
        <v>0.0</v>
      </c>
      <c r="F729" s="2" t="inlineStr">
        <is>
          <t>5999084957827</t>
        </is>
      </c>
      <c r="G729" s="4" t="inlineStr">
        <is>
          <t>Az FKK 10 Panoráma elektromos kandalló nemcsak az otthon melegét biztosítja, de valósághű kidolgozásának köszönhetően a lakás látványossága lesz. A letisztult stílus, külön kapcsolható hangulatvilágítás és a panoráma üveg tűztér igazán különleges megjelenést kölcsönöz. A lángeffektet fűtés funkció nélkül is használhatja. 
1000W vagy 2000W fűtési fokozat közül választhat. Biztonságos használatot garantál, mivel túlmelegedés esetén automatikusan kikapcsol.
Hasznos tulajdonságai még az elektromos termosztát és a heti program beállítási lehetőség. 
Tartozékként szállítjuk a hozzá tartozó távirányítót. 
Teremtsen igazán meghitt pillanatokat a hűvös időkben az FKK 10 szabadon álló elektromos kandallónkkal. 
A készülék nem alkalmas háztartási helyiség megvilágítására.</t>
        </is>
      </c>
    </row>
    <row r="730">
      <c r="A730" s="3" t="inlineStr">
        <is>
          <t>FKK 15</t>
        </is>
      </c>
      <c r="B730" s="2" t="inlineStr">
        <is>
          <t>Home FKK 15 szabadon álló elektromos kandalló, 1000W/2000W, fekete</t>
        </is>
      </c>
      <c r="C730" s="1" t="n">
        <v>32890.0</v>
      </c>
      <c r="D730" s="7" t="n">
        <f>HYPERLINK("https://www.somogyi.hu/product/home-fkk-15-szabadon-allo-elektromos-kandallo-1000w-2000w-fekete-fkk-15-15976","https://www.somogyi.hu/product/home-fkk-15-szabadon-allo-elektromos-kandallo-1000w-2000w-fekete-fkk-15-15976")</f>
        <v>0.0</v>
      </c>
      <c r="E730" s="7" t="n">
        <f>HYPERLINK("https://www.somogyi.hu/data/img/product_main_images/small/15976.jpg","https://www.somogyi.hu/data/img/product_main_images/small/15976.jpg")</f>
        <v>0.0</v>
      </c>
      <c r="F730" s="2" t="inlineStr">
        <is>
          <t>5999084940102</t>
        </is>
      </c>
      <c r="G730" s="4" t="inlineStr">
        <is>
          <t>Vajon lehet otthonunkban a meleg és hangulat forrása egyaránt stílusos és praktikus? A Home FKK 15 elektromos kandallóval ez többé nem kérdés. 
Ez a készülék nem csak egy elegáns látványelem a nappaliban, hanem hatékony fűtési megoldást is kínál, önállóan kapcsolható lángeffektjével, amely valódi kandalló érzetét kelti anélkül, hogy szükség lenne tűzifára vagy kéményre.
Két fűtési fokozata, 1000 W és 2000 W, lehetővé teszi, hogy az aktuális időjáráshoz és szükségletünkhöz igazítsuk a hőmérsékletet, míg a beépített mechanikus termosztát folyamatosan a kívánt komfortszinten tartja a helyiséget. Az automatikus kikapcsolás funkció túlmelegedés esetén biztonságot ad, így nyugodtan élvezhetjük a meleget anélkül, hogy aggódnunk kellene. Az alsó kifújási pont megtervezése optimalizálja a hő eloszlását, így a meleg gyorsan és egyenletesen terjed el a szobában. Méretei, 39,5x56,5x23 cm, tökéletesen illeszkednek bármilyen térbe, anélkül, hogy túl sok helyet foglalnának.
Tegye otthonát még melegebbé és hangulatosabbá a Home FKK 15 elektromos kandallóval, amely nem csak fűt, de dekorál is.</t>
        </is>
      </c>
    </row>
    <row r="731">
      <c r="A731" s="3" t="inlineStr">
        <is>
          <t>FKK 14</t>
        </is>
      </c>
      <c r="B731" s="2" t="inlineStr">
        <is>
          <t>Home FKK 14 szabadon álló elektromos kandalló, 1000W/2000W, fekete</t>
        </is>
      </c>
      <c r="C731" s="1" t="n">
        <v>108990.0</v>
      </c>
      <c r="D731" s="7" t="n">
        <f>HYPERLINK("https://www.somogyi.hu/product/home-fkk-14-szabadon-allo-elektromos-kandallo-1000w-2000w-fekete-fkk-14-16936","https://www.somogyi.hu/product/home-fkk-14-szabadon-allo-elektromos-kandallo-1000w-2000w-fekete-fkk-14-16936")</f>
        <v>0.0</v>
      </c>
      <c r="E731" s="7" t="n">
        <f>HYPERLINK("https://www.somogyi.hu/data/img/product_main_images/small/16936.jpg","https://www.somogyi.hu/data/img/product_main_images/small/16936.jpg")</f>
        <v>0.0</v>
      </c>
      <c r="F731" s="2" t="inlineStr">
        <is>
          <t>5999084949686</t>
        </is>
      </c>
      <c r="G731" s="4" t="inlineStr">
        <is>
          <t>Az FKK 14 Elektromos Kandalló nem csak az otthon melegét biztosítja, de valósághű kidolgozásának köszönhetően a szoba látványossága lesz. 
Az elektromos kandalló fűtési funkció nélkül is használható, így a valósághű LED lángeffektet önállóan is tudja működtetni. 
1000 W vagy 2000 W fűtési fokozat közül választhat. 
A felmelegített levegő a készülék alsó részén található nyíláson áramlik ki. 
Biztonságos használatot garantál, mivel túlmelegedés esetén automatikusan kikapcsol. 
Hasznos tulajdonsága még az elektromos termosztát. 
Teremtsen igazán meghitt pillanatokat a hűvös időkben az FKK 14 elektromos kandallónkkal.</t>
        </is>
      </c>
    </row>
    <row r="732">
      <c r="A732" s="3" t="inlineStr">
        <is>
          <t>FKK 3000 WIFI</t>
        </is>
      </c>
      <c r="B732" s="2" t="inlineStr">
        <is>
          <t>Home FKK 3000 WIFI fali smart elektromos kandalló, 1000W/2000W, heti program, távirányító, edzett üveg előlap, fekete</t>
        </is>
      </c>
      <c r="C732" s="1" t="n">
        <v>103990.0</v>
      </c>
      <c r="D732" s="7" t="n">
        <f>HYPERLINK("https://www.somogyi.hu/product/home-fkk-3000-wifi-fali-smart-elektromos-kandallo-1000w-2000w-heti-program-taviranyito-edzett-uveg-elolap-fekete-fkk-3000-wifi-16116","https://www.somogyi.hu/product/home-fkk-3000-wifi-fali-smart-elektromos-kandallo-1000w-2000w-heti-program-taviranyito-edzett-uveg-elolap-fekete-fkk-3000-wifi-16116")</f>
        <v>0.0</v>
      </c>
      <c r="E732" s="7" t="n">
        <f>HYPERLINK("https://www.somogyi.hu/data/img/product_main_images/small/16116.jpg","https://www.somogyi.hu/data/img/product_main_images/small/16116.jpg")</f>
        <v>0.0</v>
      </c>
      <c r="F732" s="2" t="inlineStr">
        <is>
          <t>5999084941482</t>
        </is>
      </c>
      <c r="G732" s="4" t="inlineStr">
        <is>
          <t>Az FKK 3000 WIFI Smart fali kandalló nem csak az otthon melegét biztosítja, de letisztult kidolgozásának köszönhetően a szoba látványossága lesz. 
Az elektromos kandalló fűtési funkció nélkül is használható, így a valósághű lángeffektet önállóan is tudja működtetni. A lángeffekt színe változtatható, így ki tudja választani az Ön stílusának leginkább megfelelőt. 
A hozzá tartozó távirányítóval vagy okos telefon alkalmazással távolról is vezérelheti az otthoni WIFI környezetben működő készüléket. (iOS 9.0 és Android 4.1 felett)
1000W vagy 200W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Teremtsen igazán meghitt pillanatokat a hűvös időkben a letisztult FKK 3000 WIFI Smart fali elektromos kandallónkkal. 
A készülék nem alkalmas háztartási helyiség megvilágítására.</t>
        </is>
      </c>
    </row>
    <row r="733">
      <c r="A733" s="3" t="inlineStr">
        <is>
          <t>FKKI 05</t>
        </is>
      </c>
      <c r="B733" s="2" t="inlineStr">
        <is>
          <t>Home FKKI 05 beépíthető vagy falra szerelhető elektromos látványkandalló, 1000W/2000W, heti program, távirányító</t>
        </is>
      </c>
      <c r="C733" s="1" t="n">
        <v>106990.0</v>
      </c>
      <c r="D733" s="7" t="n">
        <f>HYPERLINK("https://www.somogyi.hu/product/home-fkki-05-beepitheto-vagy-falra-szerelheto-elektromos-latvanykandallo-1000w-2000w-heti-program-taviranyito-fkki-05-17783","https://www.somogyi.hu/product/home-fkki-05-beepitheto-vagy-falra-szerelheto-elektromos-latvanykandallo-1000w-2000w-heti-program-taviranyito-fkki-05-17783")</f>
        <v>0.0</v>
      </c>
      <c r="E733" s="7" t="n">
        <f>HYPERLINK("https://www.somogyi.hu/data/img/product_main_images/small/17783.jpg","https://www.somogyi.hu/data/img/product_main_images/small/17783.jpg")</f>
        <v>0.0</v>
      </c>
      <c r="F733" s="2" t="inlineStr">
        <is>
          <t>5999084958053</t>
        </is>
      </c>
      <c r="G733" s="4" t="inlineStr">
        <is>
          <t>Az FKKI 05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05 elektromos kandallónkkal.</t>
        </is>
      </c>
    </row>
    <row r="734">
      <c r="A734" s="3" t="inlineStr">
        <is>
          <t>FKKI 06</t>
        </is>
      </c>
      <c r="B734" s="2" t="inlineStr">
        <is>
          <t>Home FKKI 06 beépíthető vagy falra szerelhető elektromos látványkandalló, 1000W/2000W, heti program, távirányító</t>
        </is>
      </c>
      <c r="C734" s="1" t="n">
        <v>130990.0</v>
      </c>
      <c r="D734" s="7" t="n">
        <f>HYPERLINK("https://www.somogyi.hu/product/home-fkki-06-beepitheto-vagy-falra-szerelheto-elektromos-latvanykandallo-1000w-2000w-heti-program-taviranyito-fkki-06-17784","https://www.somogyi.hu/product/home-fkki-06-beepitheto-vagy-falra-szerelheto-elektromos-latvanykandallo-1000w-2000w-heti-program-taviranyito-fkki-06-17784")</f>
        <v>0.0</v>
      </c>
      <c r="E734" s="7" t="n">
        <f>HYPERLINK("https://www.somogyi.hu/data/img/product_main_images/small/17784.jpg","https://www.somogyi.hu/data/img/product_main_images/small/17784.jpg")</f>
        <v>0.0</v>
      </c>
      <c r="F734" s="2" t="inlineStr">
        <is>
          <t>5999084958060</t>
        </is>
      </c>
      <c r="G734" s="4" t="inlineStr">
        <is>
          <t>Az FKKI 06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06 elektromos kandallónkkal.</t>
        </is>
      </c>
    </row>
    <row r="735">
      <c r="A735" s="3" t="inlineStr">
        <is>
          <t>FKK BOLOGNA</t>
        </is>
      </c>
      <c r="B735" s="2" t="inlineStr">
        <is>
          <t>Home FKKF 03 + FKKI 03 KIT FKK Bologna beépíthető elektromos látványkandalló kerettel, sonoma</t>
        </is>
      </c>
      <c r="C735" s="1" t="n">
        <v>169990.0</v>
      </c>
      <c r="D735" s="7" t="n">
        <f>HYPERLINK("https://www.somogyi.hu/product/home-fkkf-03-fkki-03-kit-fkk-bologna-beepitheto-elektromos-latvanykandallo-kerettel-sonoma-fkk-bologna-18058","https://www.somogyi.hu/product/home-fkkf-03-fkki-03-kit-fkk-bologna-beepitheto-elektromos-latvanykandallo-kerettel-sonoma-fkk-bologna-18058")</f>
        <v>0.0</v>
      </c>
      <c r="E735" s="7" t="n">
        <f>HYPERLINK("https://www.somogyi.hu/data/img/product_main_images/small/18058.jpg","https://www.somogyi.hu/data/img/product_main_images/small/18058.jpg")</f>
        <v>0.0</v>
      </c>
      <c r="F735" s="2" t="inlineStr">
        <is>
          <t>5999084960803</t>
        </is>
      </c>
      <c r="G735" s="4" t="inlineStr">
        <is>
          <t xml:space="preserve"> • elhelyezés: álló 
 • távirányító: van 
 • fűtési fokozatok: 1000 W / 2000 W 
 • ventilátor: van (első kifújási pont) 
 • fényeffektfokozatok: 5 fokozat 
 • fényforrás: LED 
 • önállóan kapcsolható lángeffekt: igen 
 • programozhatóság: heti program / ablaknyitás érzékelés 
 • termosztát: van (elektronikus termosztát) 
 • beállítható hőmérséklet tartomány: 15 °C - 30 °C 
 • alapanyaga: fűtőtest: fém / keret: laminált forgácslap 
 • ideális helyiségméret: 30 m² 
 • zajszint: 50 dB(A) 
 • fürdőszobába is telepíthető: nem 
 • tápkábel hossza: 1,5 m 
 • tápellátás: 230 V~ / 50 Hz 
 • távirányító tápellátása: 2 x AAA elem (nem tartozék) 
 • méret: 96,5 x 76,5 x 27,5 cm 
 • egyéb információ: a csomag tartalma: FKKF 03 + FKKI 03</t>
        </is>
      </c>
    </row>
    <row r="736">
      <c r="A736" s="3" t="inlineStr">
        <is>
          <t>FKKI 03</t>
        </is>
      </c>
      <c r="B736" s="2" t="inlineStr">
        <is>
          <t>Home FKKI 03 beépíthető elektromos látványkandalló, 1000W/2000W, heti program, távirányító</t>
        </is>
      </c>
      <c r="C736" s="1" t="n">
        <v>77990.0</v>
      </c>
      <c r="D736" s="7" t="n">
        <f>HYPERLINK("https://www.somogyi.hu/product/home-fkki-03-beepitheto-elektromos-latvanykandallo-1000w-2000w-heti-program-taviranyito-fkki-03-16104","https://www.somogyi.hu/product/home-fkki-03-beepitheto-elektromos-latvanykandallo-1000w-2000w-heti-program-taviranyito-fkki-03-16104")</f>
        <v>0.0</v>
      </c>
      <c r="E736" s="7" t="n">
        <f>HYPERLINK("https://www.somogyi.hu/data/img/product_main_images/small/16104.jpg","https://www.somogyi.hu/data/img/product_main_images/small/16104.jpg")</f>
        <v>0.0</v>
      </c>
      <c r="F736" s="2" t="inlineStr">
        <is>
          <t>5999084941369</t>
        </is>
      </c>
      <c r="G736" s="4" t="inlineStr">
        <is>
          <t>A Beépíthető elektromos látványkandalló nem csak az otthon melegét biztosítja, de valósághű kidolgozásának köszönhetően a szoba látványossága lesz. A kandallót saját ízlése szerint tudja beépíteni akár modern, klasszikus vagy mediterrán stílusban.
Az elektromos kandalló fűtési funkció nélkül is használható, így a valósághű izzó fahasáb és LED lángeffektet önállóan is tudja működtetni.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Tartozékként szállítjuk a hozzá tartozó távirányítót. 
Teremtsen igazán meghitt pillanatokat a hűvös időkben az FKKI 03 szabadon álló elektromos kandallónkkal. 
A készülék nem alkalmas háztartási helyiség megvilágítására.</t>
        </is>
      </c>
    </row>
    <row r="737">
      <c r="A737" s="3" t="inlineStr">
        <is>
          <t>FKK MILANO</t>
        </is>
      </c>
      <c r="B737" s="2" t="inlineStr">
        <is>
          <t>Home FKKF 02 + FKKI 03 KIT FKK Milano beépíthető elektromos látványkandalló kerettel, bükk</t>
        </is>
      </c>
      <c r="C737" s="1" t="n">
        <v>178990.0</v>
      </c>
      <c r="D737" s="7" t="n">
        <f>HYPERLINK("https://www.somogyi.hu/product/home-fkkf-02-fkki-03-kit-fkk-milano-beepitheto-elektromos-latvanykandallo-kerettel-bukk-fkk-milano-18057","https://www.somogyi.hu/product/home-fkkf-02-fkki-03-kit-fkk-milano-beepitheto-elektromos-latvanykandallo-kerettel-bukk-fkk-milano-18057")</f>
        <v>0.0</v>
      </c>
      <c r="E737" s="7" t="n">
        <f>HYPERLINK("https://www.somogyi.hu/data/img/product_main_images/small/18057.jpg","https://www.somogyi.hu/data/img/product_main_images/small/18057.jpg")</f>
        <v>0.0</v>
      </c>
      <c r="F737" s="2" t="inlineStr">
        <is>
          <t>5999084960797</t>
        </is>
      </c>
      <c r="G737" s="4" t="inlineStr">
        <is>
          <t>Az FKK MILANO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MILANO szabadon álló elektromos kandallónkkal!</t>
        </is>
      </c>
    </row>
    <row r="738">
      <c r="A738" s="3" t="inlineStr">
        <is>
          <t>FKK 18</t>
        </is>
      </c>
      <c r="B738" s="2" t="inlineStr">
        <is>
          <t>Home FKK 18 szabadon álló elektromos kandalló, 1000W/2000W, fehér</t>
        </is>
      </c>
      <c r="C738" s="1" t="n">
        <v>192990.0</v>
      </c>
      <c r="D738" s="7" t="n">
        <f>HYPERLINK("https://www.somogyi.hu/product/home-fkk-18-szabadon-allo-elektromos-kandallo-1000w-2000w-feher-fkk-18-15863","https://www.somogyi.hu/product/home-fkk-18-szabadon-allo-elektromos-kandallo-1000w-2000w-feher-fkk-18-15863")</f>
        <v>0.0</v>
      </c>
      <c r="E738" s="7" t="n">
        <f>HYPERLINK("https://www.somogyi.hu/data/img/product_main_images/small/15863.jpg","https://www.somogyi.hu/data/img/product_main_images/small/15863.jpg")</f>
        <v>0.0</v>
      </c>
      <c r="F738" s="2" t="inlineStr">
        <is>
          <t>5999084938970</t>
        </is>
      </c>
      <c r="G738" s="4" t="inlineStr">
        <is>
          <t>Az FKK 18 Szabadon álló elektromos kandalló nem csak az otthon melegét biztosítja, de valósághű kidolgozásának köszönhetően a szoba látványossága lesz. Stílusos fehér MDF bútorlap veszi körül a kandalló betétet, melyre dísztárgyait is rá tudja helyezni. 
Az elektromos kandalló fűtési funkció nélkül is használható, így a valósághű izzó fahasáb és LED lángeffekt üzemel rajta, aminek fényerejét szabályozni tudja.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18 szabadon álló elektromos kandallónkkal. 
A készülék nem alkalmas háztartási helyiség megvilágítására.</t>
        </is>
      </c>
    </row>
    <row r="739">
      <c r="A739" s="3" t="inlineStr">
        <is>
          <t>FKK 04</t>
        </is>
      </c>
      <c r="B739" s="2" t="inlineStr">
        <is>
          <t>Home FKK 04 szabadon álló elektromos kandalló, panoráma, 925W/1850W, fekete</t>
        </is>
      </c>
      <c r="C739" s="1" t="n">
        <v>93190.0</v>
      </c>
      <c r="D739" s="7" t="n">
        <f>HYPERLINK("https://www.somogyi.hu/product/home-fkk-04-szabadon-allo-elektromos-kandallo-panorama-925w-1850w-fekete-fkk-04-16938","https://www.somogyi.hu/product/home-fkk-04-szabadon-allo-elektromos-kandallo-panorama-925w-1850w-fekete-fkk-04-16938")</f>
        <v>0.0</v>
      </c>
      <c r="E739" s="7" t="n">
        <f>HYPERLINK("https://www.somogyi.hu/data/img/product_main_images/small/16938.jpg","https://www.somogyi.hu/data/img/product_main_images/small/16938.jpg")</f>
        <v>0.0</v>
      </c>
      <c r="F739" s="2" t="inlineStr">
        <is>
          <t>5999084949709</t>
        </is>
      </c>
      <c r="G739" s="4" t="inlineStr">
        <is>
          <t>Az FKK 04 Elektromos panoráma kandalló nem csak az otthon melegét biztosítja, de valósághű kidolgozásának köszönhetően a szoba látványossága lesz. Az elektromos kandalló fűtési funkció nélkül is használható, így a valósághű LED lángeffektet és izzó fahasábot önállóan is tudja működtetni, aminek fényerejét szabályozni tudja. 950 W vagy 1850 W fűtési fokozat közül választhat. 
A felmelegített levegő a készülék alsó részén található nyíláson áramlik ki. Biztonságos használatot garantál, mivel túlmelegedés esetén automatikusan kikapcsol. Hasznos tulajdonságai még az mechanikus termosztát. 
Teremtsen igazán meghitt pillanatokat a hűvös időkben az FKK 04 szabadon álló elektromos kandallónkkal.</t>
        </is>
      </c>
    </row>
    <row r="740">
      <c r="A740" s="3" t="inlineStr">
        <is>
          <t>FKK PALERMO</t>
        </is>
      </c>
      <c r="B740" s="2" t="inlineStr">
        <is>
          <t>Home FKKF 04 + FKKI 03 KIT FKK Palermo beépíthető elektromos látványkandalló kerettel, tölgy</t>
        </is>
      </c>
      <c r="C740" s="1" t="n">
        <v>185990.0</v>
      </c>
      <c r="D740" s="7" t="n">
        <f>HYPERLINK("https://www.somogyi.hu/product/home-fkkf-04-fkki-03-kit-fkk-palermo-beepitheto-elektromos-latvanykandallo-kerettel-tolgy-fkk-palermo-18059","https://www.somogyi.hu/product/home-fkkf-04-fkki-03-kit-fkk-palermo-beepitheto-elektromos-latvanykandallo-kerettel-tolgy-fkk-palermo-18059")</f>
        <v>0.0</v>
      </c>
      <c r="E740" s="7" t="n">
        <f>HYPERLINK("https://www.somogyi.hu/data/img/product_main_images/small/18059.jpg","https://www.somogyi.hu/data/img/product_main_images/small/18059.jpg")</f>
        <v>0.0</v>
      </c>
      <c r="F740" s="2" t="inlineStr">
        <is>
          <t>5999084960810</t>
        </is>
      </c>
      <c r="G740" s="4" t="inlineStr">
        <is>
          <t>Az FKK PALERMO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PALERMO szabadon álló elektromos kandallónkkal!</t>
        </is>
      </c>
    </row>
    <row r="741">
      <c r="A741" s="3" t="inlineStr">
        <is>
          <t>FKKF 04</t>
        </is>
      </c>
      <c r="B741" s="2" t="inlineStr">
        <is>
          <t>PALERMO keret kandallóbetéthez – Freya tölgy</t>
        </is>
      </c>
      <c r="C741" s="1" t="n">
        <v>109990.0</v>
      </c>
      <c r="D741" s="7" t="n">
        <f>HYPERLINK("https://www.somogyi.hu/product/palermo-keret-kandallobetethez-freya-tolgy-fkkf-04-17869","https://www.somogyi.hu/product/palermo-keret-kandallobetethez-freya-tolgy-fkkf-04-17869")</f>
        <v>0.0</v>
      </c>
      <c r="E741" s="7" t="n">
        <f>HYPERLINK("https://www.somogyi.hu/data/img/product_main_images/small/17869.jpg","https://www.somogyi.hu/data/img/product_main_images/small/17869.jpg")</f>
        <v>0.0</v>
      </c>
      <c r="F741" s="2" t="inlineStr">
        <is>
          <t>5999084958916</t>
        </is>
      </c>
      <c r="G741" s="4" t="inlineStr">
        <is>
          <t>Az FKKF 04 Palermo keret ideális az FKKI 03 típusú beépíthető elektromos látványkandallóhoz. Alakítsa saját ízlésére kandallóját a Freya tölgy színű kerettel. Ha más stílusra váltana egyszerűen megteheti, csak válasszon további keret kínálatunkból (FKKF 01, FKKF 02, FKKF 03).</t>
        </is>
      </c>
    </row>
    <row r="742">
      <c r="A742" s="6" t="inlineStr">
        <is>
          <t xml:space="preserve">   Fűtés, Párátlanítás, Párásítás / Kerámia fűtőtest</t>
        </is>
      </c>
      <c r="B742" s="6" t="inlineStr">
        <is>
          <t/>
        </is>
      </c>
      <c r="C742" s="6" t="inlineStr">
        <is>
          <t/>
        </is>
      </c>
      <c r="D742" s="6" t="inlineStr">
        <is>
          <t/>
        </is>
      </c>
      <c r="E742" s="6" t="inlineStr">
        <is>
          <t/>
        </is>
      </c>
      <c r="F742" s="6" t="inlineStr">
        <is>
          <t/>
        </is>
      </c>
      <c r="G742" s="6" t="inlineStr">
        <is>
          <t/>
        </is>
      </c>
    </row>
    <row r="743">
      <c r="A743" s="3" t="inlineStr">
        <is>
          <t>FKF 54202</t>
        </is>
      </c>
      <c r="B743" s="2" t="inlineStr">
        <is>
          <t>Smart fali ventilátoros fűtőtest</t>
        </is>
      </c>
      <c r="C743" s="1" t="n">
        <v>29990.0</v>
      </c>
      <c r="D743" s="7" t="n">
        <f>HYPERLINK("https://www.somogyi.hu/product/smart-fali-ventilatoros-futotest-fkf-54202-16976","https://www.somogyi.hu/product/smart-fali-ventilatoros-futotest-fkf-54202-16976")</f>
        <v>0.0</v>
      </c>
      <c r="E743" s="7" t="n">
        <f>HYPERLINK("https://www.somogyi.hu/data/img/product_main_images/small/16976.jpg","https://www.somogyi.hu/data/img/product_main_images/small/16976.jpg")</f>
        <v>0.0</v>
      </c>
      <c r="F743" s="2" t="inlineStr">
        <is>
          <t>5999084950088</t>
        </is>
      </c>
      <c r="G743" s="4" t="inlineStr">
        <is>
          <t>Az FKF 54202 Smart Fali ventilátoros fűtőtest praktikus megoldás lehet bármely lakásba, de akár nyaralókba vagy hétvégi házakba is. Elegáns kivitelének köszönhetően akár a lakás dísze is lehet. 
1000 W vagy 2000 W fűtési fokozat közül választhat. A lengő légterelő lamellák irányítják a kifújt levegőt. 
A fali ventilátoros fűtőtest biztonságos használatot garantál, mivel túlmelegedés esetén automatikusan kikapcsol.
Hasznos tulajdonságai még az elektromos termosztát, ablaknyitás érzékelés és a heti program beállítási lehetőség. 
A fali fűtőtestet a hozzá tartozó távirányítóval vezérelheti vagy okostelefonos alkalmazással távolról is vezérelheti.
Tartozékként szállítjuk a hozzá tartozó távirányítót.</t>
        </is>
      </c>
    </row>
    <row r="744">
      <c r="A744" s="3" t="inlineStr">
        <is>
          <t>FKF 54203</t>
        </is>
      </c>
      <c r="B744" s="2" t="inlineStr">
        <is>
          <t>Home FKF 54203 fali smart elektromos ventilátoros fűtőtest, 1000W/2000W, távirányító, üveg előlap, fehér</t>
        </is>
      </c>
      <c r="C744" s="1" t="n">
        <v>34990.0</v>
      </c>
      <c r="D744" s="7" t="n">
        <f>HYPERLINK("https://www.somogyi.hu/product/home-fkf-54203-fali-smart-elektromos-ventilatoros-futotest-1000w-2000w-taviranyito-uveg-elolap-feher-fkf-54203-17765","https://www.somogyi.hu/product/home-fkf-54203-fali-smart-elektromos-ventilatoros-futotest-1000w-2000w-taviranyito-uveg-elolap-feher-fkf-54203-17765")</f>
        <v>0.0</v>
      </c>
      <c r="E744" s="7" t="n">
        <f>HYPERLINK("https://www.somogyi.hu/data/img/product_main_images/small/17765.jpg","https://www.somogyi.hu/data/img/product_main_images/small/17765.jpg")</f>
        <v>0.0</v>
      </c>
      <c r="F744" s="2" t="inlineStr">
        <is>
          <t>5999084957872</t>
        </is>
      </c>
      <c r="G744" s="4" t="inlineStr">
        <is>
          <t>Elegáns design és modern technológia egyben? Az FKF 54203 SMART fali ventilátoros fűtőtest üveg előlappal új szintre emeli otthonának melegét és stílusát. Az okostelefonos alkalmazással távolról is könnyedén szabályozhatja a készülék minden funkcióját. A készülék 2 fűtési fokozata (1000W / 2000W) lehetővé teszi a kellemes hőmérséklet beállítását, míg a mozgó légterelő lamellák gondoskodnak a meleg levegő egyenletes elosztásáról. Az elektronikus termosztát, a 24 órás időzítő és a heti program kombinációjával naponta és hetente is beállíthatja a kívánt fűtési programot. A túlmelegedés elleni védelem pedig megbízható működést garantál. Az FKF 54203 kompakt méreteivel (54x12x18,5 cm), és elegáns üveg előlapjával az enteriőr igazi dísze lesz.</t>
        </is>
      </c>
    </row>
    <row r="745">
      <c r="A745" s="3" t="inlineStr">
        <is>
          <t>FK 53 WIFI</t>
        </is>
      </c>
      <c r="B745" s="2" t="inlineStr">
        <is>
          <t>Home FK 53 álló elektromos smart kerámia fűtőtest, 1000W/2000W, oszcillálás, távirányító, fehér</t>
        </is>
      </c>
      <c r="C745" s="1" t="n">
        <v>35390.0</v>
      </c>
      <c r="D745" s="7" t="n">
        <f>HYPERLINK("https://www.somogyi.hu/product/home-fk-53-allo-elektromos-smart-keramia-futotest-1000w-2000w-oszcillalas-taviranyito-feher-fk-53-wifi-17337","https://www.somogyi.hu/product/home-fk-53-allo-elektromos-smart-keramia-futotest-1000w-2000w-oszcillalas-taviranyito-feher-fk-53-wifi-17337")</f>
        <v>0.0</v>
      </c>
      <c r="E745" s="7" t="n">
        <f>HYPERLINK("https://www.somogyi.hu/data/img/product_main_images/small/17337.jpg","https://www.somogyi.hu/data/img/product_main_images/small/17337.jpg")</f>
        <v>0.0</v>
      </c>
      <c r="F745" s="2" t="inlineStr">
        <is>
          <t>5999084953591</t>
        </is>
      </c>
      <c r="G745" s="4" t="inlineStr">
        <is>
          <t>Szeretne hideg téli napokon is meleg otthont? Az FK 53 WIFI Smart álló kerámia fűtőtest kitűnő választás!
Ezt a modern készüléket az okostelefonos alkalmazásnak köszönhetően távolról is működtetheti az otthoni WIFI-s környezetben.
A készülék szabadon álló, így szinte mindenhol elhelyezhető a lakásban. Az FK 53 WIFI többféleképpen is szabályozható, érintőgombokkal, távirányítóval és az ingyenes okostelefonos alkalmazással. 
A készülék 2 fűtési fokozata (1000W/2000W) garantálja a gyors és hatékony fűtést. Az elektronikus termosztát segítségével 15-45 0C-ig szabályozható a hőmérsékletet, az 1-12 órás kikapcsolás időzítéssel pedig kényelmesen beállíthatja a kívánt fűtési programot. 
A 70 fokban kapcsolható oszcillálásnak köszönhetően a meleg levegő egyenletes oszlik el. Túlmelegedés vagy felbillenés esetén a készülék automatikusan kikapcsol. 
A készülék csupán 4 kg, mérete 23x56x15 cm, így könnyedén áthelyezhető a lakás bármely pontjára. 
Ne hagyja ki az FK 53 WIFI által kínált lehetőséget, fűtse fel otthonát távoltól!</t>
        </is>
      </c>
    </row>
    <row r="746">
      <c r="A746" s="3" t="inlineStr">
        <is>
          <t>FKH 401</t>
        </is>
      </c>
      <c r="B746" s="2" t="inlineStr">
        <is>
          <t>Home FKH 401 hordozható elektromos mini kerámia fűtőtest, 400W, elektronikus termosztát, lángeffekt, fehér</t>
        </is>
      </c>
      <c r="C746" s="1" t="n">
        <v>11890.0</v>
      </c>
      <c r="D746" s="7" t="n">
        <f>HYPERLINK("https://www.somogyi.hu/product/home-fkh-401-hordozhato-elektromos-mini-keramia-futotest-400w-elektronikus-termosztat-langeffekt-feher-fkh-401-17338","https://www.somogyi.hu/product/home-fkh-401-hordozhato-elektromos-mini-keramia-futotest-400w-elektronikus-termosztat-langeffekt-feher-fkh-401-17338")</f>
        <v>0.0</v>
      </c>
      <c r="E746" s="7" t="n">
        <f>HYPERLINK("https://www.somogyi.hu/data/img/product_main_images/small/17338.jpg","https://www.somogyi.hu/data/img/product_main_images/small/17338.jpg")</f>
        <v>0.0</v>
      </c>
      <c r="F746" s="2" t="inlineStr">
        <is>
          <t>5999084953607</t>
        </is>
      </c>
      <c r="G746" s="4" t="inlineStr">
        <is>
          <t>Szüksége van egy kompakt, de hatékony fűtési megoldásra, mely még hangulatot is varázsol a szürke hétköznapokra? 
Az FKH 401 hordozható mini kerámia fűtőtest hangulatos lángeffektussal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Méretei mindössze 9,5x18,5x7 cm. 
Ha egyszerű és gyors megoldást szeretne kisebb helységek fűtésére, akkor válassza az FKH 401 kerámia fűtőtestet!</t>
        </is>
      </c>
    </row>
    <row r="747">
      <c r="A747" s="3" t="inlineStr">
        <is>
          <t>FKF 59201</t>
        </is>
      </c>
      <c r="B747" s="2" t="inlineStr">
        <is>
          <t>Home FKF 59201 fali elektromos ventilátoros fűtőtest, 1000W/2000W, stop program, távirányító, fehér</t>
        </is>
      </c>
      <c r="C747" s="1" t="n">
        <v>26390.0</v>
      </c>
      <c r="D747" s="7" t="n">
        <f>HYPERLINK("https://www.somogyi.hu/product/home-fkf-59201-fali-elektromos-ventilatoros-futotest-1000w-2000w-stop-program-taviranyito-feher-fkf-59201-16445","https://www.somogyi.hu/product/home-fkf-59201-fali-elektromos-ventilatoros-futotest-1000w-2000w-stop-program-taviranyito-feher-fkf-59201-16445")</f>
        <v>0.0</v>
      </c>
      <c r="E747" s="7" t="n">
        <f>HYPERLINK("https://www.somogyi.hu/data/img/product_main_images/small/16445.jpg","https://www.somogyi.hu/data/img/product_main_images/small/16445.jpg")</f>
        <v>0.0</v>
      </c>
      <c r="F747" s="2" t="inlineStr">
        <is>
          <t>5999084944773</t>
        </is>
      </c>
      <c r="G747" s="4" t="inlineStr">
        <is>
          <t>Szüksége van egy olyan fűtőkészülékre, amely maximális kontrollt biztosít a hőmérséklet felett és egyúttal energiatakarékos? Az FKF 59201 fali ventilátoros fűtőtest a STOP programjával tökéletes választás lesz! A két választható fűtési fokozattal (1000W / 2000W) gyorsan és hatékonyan melegíti fel otthonát. A mozgó légterelő lamellák gondoskodnak a meleg levegő egyenletes elosztásáról, míg az elektronikus termosztát a legpontosabb hőmérséklet-beállítást teszi lehetővé. A 12 órás kikapcsolásidőzítéssel és a heti programmal minden napra előre tervezhet, az adaptív bekapcsolásszabályozás pedig még hatékonyabbá teszi a fűtést. De mi is az a STOP program? Ha eléri a beállított hőmérsékletet, a ventilátor is kikapcsol, így további energia-megtakarítást biztosít. A távirányítóval elérhető összes funkció pedig maximális kényelmet nyújt. A túlmelegedés elleni védelem megbízható működést garantál. Modern és kompakt méretével (54x20,5x12 cm) az FKF 59201 nem csak hatékony fűtőkészülék, de dekoratív megjelenésű is.</t>
        </is>
      </c>
    </row>
    <row r="748">
      <c r="A748" s="3" t="inlineStr">
        <is>
          <t>FK 52</t>
        </is>
      </c>
      <c r="B748" s="2" t="inlineStr">
        <is>
          <t>Home FK 52 álló elektromos kerámia fűtőtest, 1200W/2000W, oszcillálás, kikapcsolás időzítő, fehér</t>
        </is>
      </c>
      <c r="C748" s="1" t="n">
        <v>26690.0</v>
      </c>
      <c r="D748" s="7" t="n">
        <f>HYPERLINK("https://www.somogyi.hu/product/home-fk-52-allo-elektromos-keramia-futotest-1200w-2000w-oszcillalas-kikapcsolas-idozito-feher-fk-52-17336","https://www.somogyi.hu/product/home-fk-52-allo-elektromos-keramia-futotest-1200w-2000w-oszcillalas-kikapcsolas-idozito-feher-fk-52-17336")</f>
        <v>0.0</v>
      </c>
      <c r="E748" s="7" t="n">
        <f>HYPERLINK("https://www.somogyi.hu/data/img/product_main_images/small/17336.jpg","https://www.somogyi.hu/data/img/product_main_images/small/17336.jpg")</f>
        <v>0.0</v>
      </c>
      <c r="F748" s="2" t="inlineStr">
        <is>
          <t>5999084953584</t>
        </is>
      </c>
      <c r="G748" s="4" t="inlineStr">
        <is>
          <t>Beköszöntöttek a hűvösebb napok és megoldást keres lakása felmelegítésére? Az FK 52 álló kerámia fűtőtest nem csupán hatékonyan melegít, de stílusos kiegészítője is lehet otthonának.
Két fűtési fokozatával (1200W és 2000W) garantálja a kellemes meleget. 
Háromféle levegőfunkció közül választhat: hideg, meleg és forró, így a készülék minden évszakban ideális választás. Legyen szó egy hűvös őszi estéről vagy egy hideg téli napról. 
A választható 18-21-24-27 °C-os termosztátértékkel az FK 52-t mindig a kívánt hőfokra állíthatja. 
Az 1-15 órás időzítővel biztos lehet abban, hogy a készülék csak addig üzemel, amíg Ön szeretné. 
A 70°-os oszcillációjának köszönhetően az egész helyiséget egyenletesen melegíti fel. 
Túlmelegedés vagy felbillenés esetén a készülék automatikusan kikapcsol. Mindez egy elegáns, ∅23x64 cm méretű álló készülékházban szállítjuk. 
Élvezze az otthon melegét FK 52 álló kerámia fűtőtest használatával!</t>
        </is>
      </c>
    </row>
    <row r="749">
      <c r="A749" s="3" t="inlineStr">
        <is>
          <t>FKF 65221</t>
        </is>
      </c>
      <c r="B749" s="2" t="inlineStr">
        <is>
          <t>Home FKF 65221 fali elektromos ventilátoros fűtőtest, 1100/2200W, heti program, távirányító, fehér</t>
        </is>
      </c>
      <c r="C749" s="1" t="n">
        <v>33990.0</v>
      </c>
      <c r="D749" s="7" t="n">
        <f>HYPERLINK("https://www.somogyi.hu/product/home-fkf-65221-fali-elektromos-ventilatoros-futotest-1100-2200w-heti-program-taviranyito-feher-fkf-65221-16446","https://www.somogyi.hu/product/home-fkf-65221-fali-elektromos-ventilatoros-futotest-1100-2200w-heti-program-taviranyito-feher-fkf-65221-16446")</f>
        <v>0.0</v>
      </c>
      <c r="E749" s="7" t="n">
        <f>HYPERLINK("https://www.somogyi.hu/data/img/product_main_images/small/16446.jpg","https://www.somogyi.hu/data/img/product_main_images/small/16446.jpg")</f>
        <v>0.0</v>
      </c>
      <c r="F749" s="2" t="inlineStr">
        <is>
          <t>5999084944780</t>
        </is>
      </c>
      <c r="G749" s="4" t="inlineStr">
        <is>
          <t>Szeretne egy olyan fűtőkészüléket, amely gyorsan és hatékonyan melegíti fel otthonát, miközben modern és stílusos kialakítású? Az FKF 65221 fali ventilátoros fűtőtest pont azt kínálja, amire szüksége lehet a hideg hónapokban. A két választható fűtési fokozat (1100W / 2200W) gyorsan és hatékonyan melegíti fel otthonát. A mozgó légterelő lamellák gondoskodnak a meleg levegő egyenletes elosztásáról, az elektronikus termosztát pedig pontos hőmérséklet-szabályozást garantál. Ha arra törekszik, hogy hatékonyan használja az energiát, a 8 órás kikapcsolásidőzítés és a heti program biztosít erre lehetőséget. A beépített ablaknyitás-érzékelés lehetővé teszi, hogy a szellőztetés során automatikusan kikapcsoljon a fűtőtest, így ne pazarolja az energiát. A távirányítóval elérhető összes funkció maximális kényelmet biztosít. A túlmelegedés elleni védelem pedig megbízható működést garantál. Az FKF 65221 modern kialakításának és kompakt méretének (65x25x15 cm) köszönhetően tökéletes választás minden otthonba.</t>
        </is>
      </c>
    </row>
    <row r="750">
      <c r="A750" s="3" t="inlineStr">
        <is>
          <t>FKF 56202</t>
        </is>
      </c>
      <c r="B750" s="2" t="inlineStr">
        <is>
          <t>Home FKF 56202 fali elektromos ventilátoros fűtőtest, 1000W/2000W, heti program, távirányító, ezüst</t>
        </is>
      </c>
      <c r="C750" s="1" t="n">
        <v>25790.0</v>
      </c>
      <c r="D750" s="7" t="n">
        <f>HYPERLINK("https://www.somogyi.hu/product/home-fkf-56202-fali-elektromos-ventilatoros-futotest-1000w-2000w-heti-program-taviranyito-ezust-fkf-56202-16447","https://www.somogyi.hu/product/home-fkf-56202-fali-elektromos-ventilatoros-futotest-1000w-2000w-heti-program-taviranyito-ezust-fkf-56202-16447")</f>
        <v>0.0</v>
      </c>
      <c r="E750" s="7" t="n">
        <f>HYPERLINK("https://www.somogyi.hu/data/img/product_main_images/small/16447.jpg","https://www.somogyi.hu/data/img/product_main_images/small/16447.jpg")</f>
        <v>0.0</v>
      </c>
      <c r="F750" s="2" t="inlineStr">
        <is>
          <t>5999084944797</t>
        </is>
      </c>
      <c r="G750" s="4" t="inlineStr">
        <is>
          <t>Keres egy igazán stílusos és hatékony fűtőkészüléket az otthonába? Az FKF 56202 fali ventilátoros fűtőtest pont az, amire szüksége van! A készülék 2 fűtési fokozata (1000W / 2000W) garantálja a gyors és hatékony fűtést, míg a mozgó légterelő lamellák gondoskodnak a meleg levegő egyenletes elosztásáról. Az elektronikus termosztáttal és a 8 órás kikapcsolásidőzítés kombinációjával naponta és hetente is beállíthatja a kívánt fűtési programot. Az ablaknyitás-érzékelő gondoskodik arról, hogy a szellőztetés során automatikusan kikapcsolja a fűtést, hogy ne pazarolja az energiát A távirányítóval elérhető összes funkció maximális kényelmet biztosít. Az FKF 56202 fűtőtest nem csak funkcionális, hanem stílusos is: elegáns ezüst színével és kompakt méreteivel (56x19x12 cm) minden helyiségben kiválóan mutat.</t>
        </is>
      </c>
    </row>
    <row r="751">
      <c r="A751" s="3" t="inlineStr">
        <is>
          <t>FKH 400</t>
        </is>
      </c>
      <c r="B751" s="2" t="inlineStr">
        <is>
          <t>Home FKH 400 hordozható elektromos mini kerámia fűtőtest, 400W, elektronikus termosztát, fehér</t>
        </is>
      </c>
      <c r="C751" s="1" t="n">
        <v>8690.0</v>
      </c>
      <c r="D751" s="7" t="n">
        <f>HYPERLINK("https://www.somogyi.hu/product/home-fkh-400-hordozhato-elektromos-mini-keramia-futotest-400w-elektronikus-termosztat-feher-fkh-400-16935","https://www.somogyi.hu/product/home-fkh-400-hordozhato-elektromos-mini-keramia-futotest-400w-elektronikus-termosztat-feher-fkh-400-16935")</f>
        <v>0.0</v>
      </c>
      <c r="E751" s="7" t="n">
        <f>HYPERLINK("https://www.somogyi.hu/data/img/product_main_images/small/16935.jpg","https://www.somogyi.hu/data/img/product_main_images/small/16935.jpg")</f>
        <v>0.0</v>
      </c>
      <c r="F751" s="2" t="inlineStr">
        <is>
          <t>5999084949679</t>
        </is>
      </c>
      <c r="G751" s="4" t="inlineStr">
        <is>
          <t>Hatékony és kis helyigényű fűtési megoldást keres a hideg napokra? Az FKH 400 hordozható mini kerámia fűtőtest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Az FKH 400 készüléktartó állvánnyal együtt kapható. Méretei mindössze 9x8,5x17 cm. 
Ha egyszerű és gyors megoldást szeretne kisebb helységek fűtésére, akkor válassza az FKH 400 kerámia fűtőtestet!"</t>
        </is>
      </c>
    </row>
    <row r="752">
      <c r="A752" s="3" t="inlineStr">
        <is>
          <t>FK 30</t>
        </is>
      </c>
      <c r="B752" s="2" t="inlineStr">
        <is>
          <t>Home FK 30 hordozható elektromos ventilátoros fűtőtest, 1000W/2000W</t>
        </is>
      </c>
      <c r="C752" s="1" t="n">
        <v>14190.0</v>
      </c>
      <c r="D752" s="7" t="n">
        <f>HYPERLINK("https://www.somogyi.hu/product/home-fk-30-hordozhato-elektromos-ventilatoros-futotest-1000w-2000w-fk-30-13569","https://www.somogyi.hu/product/home-fk-30-hordozhato-elektromos-ventilatoros-futotest-1000w-2000w-fk-30-13569")</f>
        <v>0.0</v>
      </c>
      <c r="E752" s="7" t="n">
        <f>HYPERLINK("https://www.somogyi.hu/data/img/product_main_images/small/13569.jpg","https://www.somogyi.hu/data/img/product_main_images/small/13569.jpg")</f>
        <v>0.0</v>
      </c>
      <c r="F752" s="2" t="inlineStr">
        <is>
          <t>5999084916213</t>
        </is>
      </c>
      <c r="G752" s="4" t="inlineStr">
        <is>
          <t>Szüksége van egy hatékony és könnyen áthelyezhető fűtési megoldásra a hidegebb napokon? Az FK 30 hordozható ventilátoros fűtőtest tökéletes választás lehet! A készülék két különböző fűtési fokozattal (1000W vagy 2000W) rendelkezik. A mechanikus termosztát segítségével könnyen beállítható a helyiség optimális hőmérséklete. Az FK 30 nem csupán hatékonyan üzemel, hanem rendkívül strapabíró is. Fémháza kiválóan ellenáll a mindennapi használat során jelentkező kopásoknak. A túlmelegedés elleni védelem pedig megbízható működést garantál. A termékbe épített PTC fűtőelem rendkívül hosszú élettartamot biztosít. Kompakt mérete (17,5x20x18 cm) lehetővé teszi a könnyed áthelyezést. Használja az FK 30 hordozható ventilátoros fűtőtestet, és élvezze a meleg, kényelmes beltéri hőmérsékletet a leghidegebb napokon is!</t>
        </is>
      </c>
    </row>
    <row r="753">
      <c r="A753" s="3" t="inlineStr">
        <is>
          <t>FK 29</t>
        </is>
      </c>
      <c r="B753" s="2" t="inlineStr">
        <is>
          <t>Home KF 29 álló elektromos kerámia fűtőtest, 900W/1800W, oszcillálás,  mechanikus termosztát, fekete</t>
        </is>
      </c>
      <c r="C753" s="1" t="n">
        <v>19090.0</v>
      </c>
      <c r="D753" s="7" t="n">
        <f>HYPERLINK("https://www.somogyi.hu/product/home-kf-29-allo-elektromos-keramia-futotest-900w-1800w-oszcillalas-mechanikus-termosztat-fekete-fk-29-15425","https://www.somogyi.hu/product/home-kf-29-allo-elektromos-keramia-futotest-900w-1800w-oszcillalas-mechanikus-termosztat-fekete-fk-29-15425")</f>
        <v>0.0</v>
      </c>
      <c r="E753" s="7" t="n">
        <f>HYPERLINK("https://www.somogyi.hu/data/img/product_main_images/small/15425.jpg","https://www.somogyi.hu/data/img/product_main_images/small/15425.jpg")</f>
        <v>0.0</v>
      </c>
      <c r="F753" s="2" t="inlineStr">
        <is>
          <t>5999084934590</t>
        </is>
      </c>
      <c r="G753" s="4" t="inlineStr">
        <is>
          <t>Fagyos a téli reggel és egy gyors, hatékony megoldást keres a lakás felmelegítésére? Az FK 29 kerámia fűtőtest kiváló választás! 
A két választható fűtési fokozatnak (900W és 1800W) és a mechanikus termosztátnak köszönhetően könnyedén állíthatja be a szoba hőmérsékletét. 
A fűtőkészülék egyenletesen oszlatja el a meleget az egész helyiségben a kapcsolható oszcillálás funkció segítségével. 
Az FK 29 nem csak hatékony, hanem biztonságos is.
 Túlmelegedés vagy felbillenés esetén a készülék automatikusan kikapcsol. 
Az FK 29 kerámia fűtőtest diszkrét méretével (22x32x14,5 cm) remekül illeszkedik bármilyen enteriőrbe. 
Ne várjon tovább! Vigyen melegséget otthonába az FK 29 kerámia fűtőkészülékkel!</t>
        </is>
      </c>
    </row>
    <row r="754">
      <c r="A754" s="3" t="inlineStr">
        <is>
          <t>FKF 42201</t>
        </is>
      </c>
      <c r="B754" s="2" t="inlineStr">
        <is>
          <t>Home FKF 42201 fali elektromos ventilátoros fűtőtest, 1000W/2000W, heti program, távirányító, fehér</t>
        </is>
      </c>
      <c r="C754" s="1" t="n">
        <v>19090.0</v>
      </c>
      <c r="D754" s="7" t="n">
        <f>HYPERLINK("https://www.somogyi.hu/product/home-fkf-42201-fali-elektromos-ventilatoros-futotest-1000w-2000w-heti-program-taviranyito-feher-fkf-42201-16448","https://www.somogyi.hu/product/home-fkf-42201-fali-elektromos-ventilatoros-futotest-1000w-2000w-heti-program-taviranyito-feher-fkf-42201-16448")</f>
        <v>0.0</v>
      </c>
      <c r="E754" s="7" t="n">
        <f>HYPERLINK("https://www.somogyi.hu/data/img/product_main_images/small/16448.jpg","https://www.somogyi.hu/data/img/product_main_images/small/16448.jpg")</f>
        <v>0.0</v>
      </c>
      <c r="F754" s="2" t="inlineStr">
        <is>
          <t>5999084944803</t>
        </is>
      </c>
      <c r="G754" s="4" t="inlineStr">
        <is>
          <t>Hatékony és megbízható fűtőkészüléket keres a hidegebb napokra? Az FKF 42201 kiváló választás! 2 fűtési fokozata (1000 W / 2000 W) és az elektronikus termosztát biztosítja az optimális hőmérsékletet. A 8 órás kikapcsolásidőzítés és heti program lehetővé teszi, hogy a hét minden napjára testre szabja fűtési igényeit. Az FKF 42201 minden funkciója távirányítható, emellett ablaknyitás-érzékelés is beépítésre került, így a szellőztetés során automatikusan kikapcsolja a fűtést, hogy ne pazarolja az energiát. A túlmelegedés elleni védelem pedig megbízható működést garantál. A készülék méretének (42 x 16,5 x 11,5 cm) köszönhetően szinte bárhova könnyedén elhelyezhető.</t>
        </is>
      </c>
    </row>
    <row r="755">
      <c r="A755" s="3" t="inlineStr">
        <is>
          <t>ST-22-240-E</t>
        </is>
      </c>
      <c r="B755" s="2" t="inlineStr">
        <is>
          <t>Stanley ST-22-240-E hordozható elektromos ventilátoros PTC fűtőtest, 1000W/2000W</t>
        </is>
      </c>
      <c r="C755" s="1" t="n">
        <v>20790.0</v>
      </c>
      <c r="D755" s="7" t="n">
        <f>HYPERLINK("https://www.somogyi.hu/product/stanley-st-22-240-e-hordozhato-elektromos-ventilatoros-ptc-futotest-1000w-2000w-st-22-240-e-17043","https://www.somogyi.hu/product/stanley-st-22-240-e-hordozhato-elektromos-ventilatoros-ptc-futotest-1000w-2000w-st-22-240-e-17043")</f>
        <v>0.0</v>
      </c>
      <c r="E755" s="7" t="n">
        <f>HYPERLINK("https://www.somogyi.hu/data/img/product_main_images/small/17043.jpg","https://www.somogyi.hu/data/img/product_main_images/small/17043.jpg")</f>
        <v>0.0</v>
      </c>
      <c r="F755" s="2" t="inlineStr">
        <is>
          <t>0657888162216</t>
        </is>
      </c>
      <c r="G755" s="4" t="inlineStr">
        <is>
          <t>Stanley ST-22-240-E PTC fűtőtest kis helyigénye miatt (mérete: 20x29x27,5 cm) akár munkalapra állítva is tökéletes befűti garázsát, műhelyét. A készülék 2 fűtési fokozata (1000W és 2000W) és ventilátor üzemmódja biztosítja a meleg levegő tökéletes eloszlását. A mechanikus termosztát segítségével könnyen beállítható a helyiség optimális hőmérséklete, míg strapabíró fém házban elhelyezett PTC fűtőelem garantálja a gyors és hatékony fűtést. A túlmelegedés elleni védelem megbízható működést nyújt. Bízza magát a Stanley minőségére, használja az ST-22-240-E PTC fűtőtestet!</t>
        </is>
      </c>
    </row>
    <row r="756">
      <c r="A756" s="3" t="inlineStr">
        <is>
          <t>FK 51</t>
        </is>
      </c>
      <c r="B756" s="2" t="inlineStr">
        <is>
          <t>Home FK 51 álló elektromos kerámia fűtőtest, 1000W/1500W, oszcillálás,  mechanikus termosztát,  fehér/fehér</t>
        </is>
      </c>
      <c r="C756" s="1" t="n">
        <v>11890.0</v>
      </c>
      <c r="D756" s="7" t="n">
        <f>HYPERLINK("https://www.somogyi.hu/product/home-fk-51-allo-elektromos-keramia-futotest-1000w-1500w-oszcillalas-mechanikus-termosztat-feher-feher-fk-51-16934","https://www.somogyi.hu/product/home-fk-51-allo-elektromos-keramia-futotest-1000w-1500w-oszcillalas-mechanikus-termosztat-feher-feher-fk-51-16934")</f>
        <v>0.0</v>
      </c>
      <c r="E756" s="7" t="n">
        <f>HYPERLINK("https://www.somogyi.hu/data/img/product_main_images/small/16934.jpg","https://www.somogyi.hu/data/img/product_main_images/small/16934.jpg")</f>
        <v>0.0</v>
      </c>
      <c r="F756" s="2" t="inlineStr">
        <is>
          <t>5999084949662</t>
        </is>
      </c>
      <c r="G756" s="4" t="inlineStr">
        <is>
          <t>Komfortossá, melegebbé varázsolná otthonát a hideg téli napokon? Az FK 51 kerámia fűtőtest társa lesz ebben! 
A kiváló minőségű fűtőkészülék 2 fűtési fokozattal rendelkezik: 1000W és 1500W, biztosítva, hogy mindig a legtökéletesebb hőmérsékletet élvezhesse a helyiségben. 
A készülék nemcsak hatékony, de sokoldalú is.
Hideg, meleg és forró levegő kifúvási funkcióval rendelkezik.  
A mechanikus termosztát lehetővé teszi az ideális hőmérséklet beállítását. 
A 70°-os kapcsolható oszcillációval egyenletesen oszlatja el a meleg levegőt. 
Túlmelegedés vagy felbillenés esetén a készülék automatikusan kikapcsol.  
Kompakt méretének (15x24,5x9 cm) köszönhetően minimális helyet foglal. 
Ne várjon tovább! Vigyen melegséget otthonába az FK 51 kerámia fűtőkészülékkel!</t>
        </is>
      </c>
    </row>
    <row r="757">
      <c r="A757" s="6" t="inlineStr">
        <is>
          <t xml:space="preserve">   Fűtés, Párátlanítás, Párásítás / Hősugárzó, fűtőtest, fűtőbetét</t>
        </is>
      </c>
      <c r="B757" s="6" t="inlineStr">
        <is>
          <t/>
        </is>
      </c>
      <c r="C757" s="6" t="inlineStr">
        <is>
          <t/>
        </is>
      </c>
      <c r="D757" s="6" t="inlineStr">
        <is>
          <t/>
        </is>
      </c>
      <c r="E757" s="6" t="inlineStr">
        <is>
          <t/>
        </is>
      </c>
      <c r="F757" s="6" t="inlineStr">
        <is>
          <t/>
        </is>
      </c>
      <c r="G757" s="6" t="inlineStr">
        <is>
          <t/>
        </is>
      </c>
    </row>
    <row r="758">
      <c r="A758" s="3" t="inlineStr">
        <is>
          <t>FK 252</t>
        </is>
      </c>
      <c r="B758" s="2" t="inlineStr">
        <is>
          <t>Home FK 252 álló elektromos karbon és halogén kombinált fűtőtest, 1200W/1200W, IPX4 védelem, távirányító, ezüst</t>
        </is>
      </c>
      <c r="C758" s="1" t="n">
        <v>57190.0</v>
      </c>
      <c r="D758" s="7" t="n">
        <f>HYPERLINK("https://www.somogyi.hu/product/home-fk-252-allo-elektromos-karbon-es-halogen-kombinalt-futotest-1200w-1200w-ipx4-vedelem-taviranyito-ezust-fk-252-16930","https://www.somogyi.hu/product/home-fk-252-allo-elektromos-karbon-es-halogen-kombinalt-futotest-1200w-1200w-ipx4-vedelem-taviranyito-ezust-fk-252-16930")</f>
        <v>0.0</v>
      </c>
      <c r="E758" s="7" t="n">
        <f>HYPERLINK("https://www.somogyi.hu/data/img/product_main_images/small/16930.jpg","https://www.somogyi.hu/data/img/product_main_images/small/16930.jpg")</f>
        <v>0.0</v>
      </c>
      <c r="F758" s="2" t="inlineStr">
        <is>
          <t>5999084949624</t>
        </is>
      </c>
      <c r="G758" s="4" t="inlineStr">
        <is>
          <t>A hordozható FK 252 karbon és halogénszálas kombinált fűtőtest bel- és kültéren egyaránt használható. A termék két különböző üzemmódot kínál: választhat a gyors felmelegedést biztosító 1200W-os halogén és a hosszan tartó meleget nyújtó 1200W-os karbon fűtőelem között. A fűtőtest minden funkciója távirányítható vagy érintőgombokkal egyszerűen vezérelhető. A külön kapcsolható oszcillálással a hő egyenletesen oszlik el a helyiségben, teraszon. Az óránként beállítható, maximum 6 órás kikapcsolásidőzítés lehetővé teszi, hogy testre szabja fűtési igényeit. IPX4 védelemmel ellátott, így sem a fröccsenő víz sem a párás környezetben való használat nem jelent gondot. Felbillenés esetén azonnal kikapcsol. Ne hagyja, hogy a hideg elüldözze teraszáról, használja a hűvösebb napokon az FK 252 kombinált fűtőtestet!</t>
        </is>
      </c>
    </row>
    <row r="759">
      <c r="A759" s="3" t="inlineStr">
        <is>
          <t>FK 272</t>
        </is>
      </c>
      <c r="B759" s="2" t="inlineStr">
        <is>
          <t>Home FK 272 álló elektromos karccsöves kültéri hősugárzó, 650W/1350W,  IPX4 védelem, fekete</t>
        </is>
      </c>
      <c r="C759" s="1" t="n">
        <v>36590.0</v>
      </c>
      <c r="D759" s="7" t="n">
        <f>HYPERLINK("https://www.somogyi.hu/product/home-fk-272-allo-elektromos-karccsoves-kulteri-hosugarzo-650w-1350w-ipx4-vedelem-fekete-fk-272-16933","https://www.somogyi.hu/product/home-fk-272-allo-elektromos-karccsoves-kulteri-hosugarzo-650w-1350w-ipx4-vedelem-fekete-fk-272-16933")</f>
        <v>0.0</v>
      </c>
      <c r="E759" s="7" t="n">
        <f>HYPERLINK("https://www.somogyi.hu/data/img/product_main_images/small/16933.jpg","https://www.somogyi.hu/data/img/product_main_images/small/16933.jpg")</f>
        <v>0.0</v>
      </c>
      <c r="F759" s="2" t="inlineStr">
        <is>
          <t>5999084949655</t>
        </is>
      </c>
      <c r="G759" s="4" t="inlineStr">
        <is>
          <t>Szinte észrevétlen megoldást keres terasza fűtésére a hűvösebb napokon? Az FK 272 kvarccsöves kültéri hősugárzó használatával ezt megteheti. A hősugárzó teljesen hangtalanul működik Ez a speciális kvarccsöves termék három különböző fűtési fokozattal rendelkezik (650W, 1350W és akár 2000W) és felbillenés esetén azonnal kikapcsol. IPX4 védelemmel ellátott, így sem a fröccsenő víz sem a párás környezetben való használat nem jelent gondot. Az állítható magasságú rozsdamentes állvány hosszú élettartamot garantál. Ne hagyja, hogy a hideg idő megzavarja szabadtéri összejöveteleit!</t>
        </is>
      </c>
    </row>
    <row r="760">
      <c r="A760" s="3" t="inlineStr">
        <is>
          <t>FK 23</t>
        </is>
      </c>
      <c r="B760" s="2" t="inlineStr">
        <is>
          <t>Halogén fűtőtest</t>
        </is>
      </c>
      <c r="C760" s="1" t="n">
        <v>17290.0</v>
      </c>
      <c r="D760" s="7" t="n">
        <f>HYPERLINK("https://www.somogyi.hu/product/halogen-futotest-fk-23-14753","https://www.somogyi.hu/product/halogen-futotest-fk-23-14753")</f>
        <v>0.0</v>
      </c>
      <c r="E760" s="7" t="n">
        <f>HYPERLINK("https://www.somogyi.hu/data/img/product_main_images/small/14753.jpg","https://www.somogyi.hu/data/img/product_main_images/small/14753.jpg")</f>
        <v>0.0</v>
      </c>
      <c r="F760" s="2" t="inlineStr">
        <is>
          <t>5999084927936</t>
        </is>
      </c>
      <c r="G760" s="4" t="inlineStr">
        <is>
          <t>Teremtsen lakásában meleget a hidegebb időszakokban! Az FK23 típusú halogén fűtőtestben garantáltan nem fog csalódni!  A praktikus „cool touch” kialakítással rendelkező termék összesen 400 W / 800 W / és 1200 W teljesítményfokozatok szabályozására képes.
A fűtőtest rendkívül biztonságos, hiszen felbillenés esetén azonnal kikapcsol, mindemellett kapcsolható oszcillálással is rendelkezik. Mérete: 30 x 30 x 70 cm. Válassza a minőségi termékeket és rendeljen webáruházunkból!</t>
        </is>
      </c>
    </row>
    <row r="761">
      <c r="A761" s="3" t="inlineStr">
        <is>
          <t>FTW 2</t>
        </is>
      </c>
      <c r="B761" s="2" t="inlineStr">
        <is>
          <t>Home FTW 2 álló vagy falra szerelhető fűtött elektromos törölközőszárító, 100W, IPX1 védelem, fehér</t>
        </is>
      </c>
      <c r="C761" s="1" t="n">
        <v>27790.0</v>
      </c>
      <c r="D761" s="7" t="n">
        <f>HYPERLINK("https://www.somogyi.hu/product/home-ftw-2-allo-vagy-falra-szerelheto-futott-elektromos-torolkozoszarito-100w-ipx1-vedelem-feher-ftw-2-15985","https://www.somogyi.hu/product/home-ftw-2-allo-vagy-falra-szerelheto-futott-elektromos-torolkozoszarito-100w-ipx1-vedelem-feher-ftw-2-15985")</f>
        <v>0.0</v>
      </c>
      <c r="E761" s="7" t="n">
        <f>HYPERLINK("https://www.somogyi.hu/data/img/product_main_images/small/15985.jpg","https://www.somogyi.hu/data/img/product_main_images/small/15985.jpg")</f>
        <v>0.0</v>
      </c>
      <c r="F761" s="2" t="inlineStr">
        <is>
          <t>5999084940195</t>
        </is>
      </c>
      <c r="G761" s="4" t="inlineStr">
        <is>
          <t>Aggódik a nedves, hideg törölköző miatt fürdés után? Az FTW 2 fűtött, elektromos törölközőszárító a megoldás! 
Ez a készülék 100W-os teljesítményével garantálhatja, hogy törölközői gyorsan és egyenletesen száradjanak meg. 
6 törölközőtartó rúddal rendelkezik, közel fél méter széles törölközők száríthatók rajta. 
A termék kialakítása lehetővé teszi a szabadon álló vagy falra szerelhető elhelyezést, ezért könnyen alkalmazkodik fürdőszobája adottságaihoz.
A csomagolásban minden benne van, ami a kétféle felhasználási módhoz, szereléshez szükséges. A szárító IPX1 védelme biztosítja, hogy a függőlegesen csepegő víz ne okozzon problémát. 
A túlmelegedés elleni védelem pedig megbízható működést garantál. 
Méretei - falra szerelve 54 x 86 x 10,2 cm, talpán állva pedig 54 x 91 x 35,3 cm - ideálisak minden típusú fürdőszobához. 
Ne hagyja ki ezt a lehetőséget! Az FTW 2 törölközőszárító használatával a frissítő zuhanyzások után mindig puha és meleg törölköző várja.</t>
        </is>
      </c>
    </row>
    <row r="762">
      <c r="A762" s="3" t="inlineStr">
        <is>
          <t>FKT 22CM</t>
        </is>
      </c>
      <c r="B762" s="2" t="inlineStr">
        <is>
          <t>Fűtőbetét, 22 cm, 400W</t>
        </is>
      </c>
      <c r="C762" s="1" t="n">
        <v>1250.0</v>
      </c>
      <c r="D762" s="7" t="n">
        <f>HYPERLINK("https://www.somogyi.hu/product/futobetet-22-cm-400w-fkt-22cm-9908","https://www.somogyi.hu/product/futobetet-22-cm-400w-fkt-22cm-9908")</f>
        <v>0.0</v>
      </c>
      <c r="E762" s="7" t="n">
        <f>HYPERLINK("https://www.somogyi.hu/data/img/product_main_images/small/09908.jpg","https://www.somogyi.hu/data/img/product_main_images/small/09908.jpg")</f>
        <v>0.0</v>
      </c>
      <c r="F762" s="2" t="inlineStr">
        <is>
          <t>5998312786277</t>
        </is>
      </c>
      <c r="G762" s="4" t="inlineStr">
        <is>
          <t>Az FK 16-os halogén fűtőtest szabályozható teljesítménnyel rendelkezik, minőségi kialakításának köszönhetően, pedig akár három fűtési fokozat (400 W / 800 W / 1200 W) közül is választhatunk. Alapesetben az FKT 22CM típusú fűtőbetét szolgáltatja számára a hősugárzást, amelyet, mint minden fogyó eszköz esetében, bizonyos időközönként ki kell cserélni. A minőségileg kialakított szerkezetét egy 22 cm hosszúságú cső formájú betét képzi, amely 400 W-os teljesítményt garantál a fűtőtest számára. Az előnyös tulajdonságainak köszönhetően élettartama kifejezetten magas és kiváló hősugárzást biztosít.</t>
        </is>
      </c>
    </row>
    <row r="763">
      <c r="A763" s="3" t="inlineStr">
        <is>
          <t>FK 23/T</t>
        </is>
      </c>
      <c r="B763" s="2" t="inlineStr">
        <is>
          <t>Fűtőbetét FK 23-hoz, 400W</t>
        </is>
      </c>
      <c r="C763" s="1" t="n">
        <v>1150.0</v>
      </c>
      <c r="D763" s="7" t="n">
        <f>HYPERLINK("https://www.somogyi.hu/product/futobetet-fk-23-hoz-400w-fk-23-t-14906","https://www.somogyi.hu/product/futobetet-fk-23-hoz-400w-fk-23-t-14906")</f>
        <v>0.0</v>
      </c>
      <c r="E763" s="7" t="n">
        <f>HYPERLINK("https://www.somogyi.hu/data/img/product_main_images/small/14906.jpg","https://www.somogyi.hu/data/img/product_main_images/small/14906.jpg")</f>
        <v>0.0</v>
      </c>
      <c r="F763" s="2" t="inlineStr">
        <is>
          <t>5999084929435</t>
        </is>
      </c>
      <c r="G763" s="4" t="inlineStr">
        <is>
          <t>Az FK 23/T Fűtőbetét 400 W, hossza 163 mm. 
A fűtőbetét az FK 23 halogén fűtőtesthez vásárolható meg.</t>
        </is>
      </c>
    </row>
    <row r="764">
      <c r="A764" s="3" t="inlineStr">
        <is>
          <t>FK 272/T</t>
        </is>
      </c>
      <c r="B764" s="2" t="inlineStr">
        <is>
          <t>Fűtőbetét FK 272 készülékhez</t>
        </is>
      </c>
      <c r="C764" s="1" t="n">
        <v>1290.0</v>
      </c>
      <c r="D764" s="7" t="n">
        <f>HYPERLINK("https://www.somogyi.hu/product/futobetet-fk-272-keszulekhez-fk-272-t-18012","https://www.somogyi.hu/product/futobetet-fk-272-keszulekhez-fk-272-t-18012")</f>
        <v>0.0</v>
      </c>
      <c r="E764" s="7" t="n">
        <f>HYPERLINK("https://www.somogyi.hu/data/img/product_main_images/small/18012.jpg","https://www.somogyi.hu/data/img/product_main_images/small/18012.jpg")</f>
        <v>0.0</v>
      </c>
      <c r="F764" s="2" t="inlineStr">
        <is>
          <t>5999084960346</t>
        </is>
      </c>
      <c r="G764" s="4" t="inlineStr">
        <is>
          <t>Az FK 272/T Fűtőbetét 650 W, hossza 350 mm.
A fűtőbetét az FK 272 halogén fűtőtesthez vásárolható meg.</t>
        </is>
      </c>
    </row>
    <row r="765">
      <c r="A765" s="3" t="inlineStr">
        <is>
          <t>FK 21</t>
        </is>
      </c>
      <c r="B765" s="2" t="inlineStr">
        <is>
          <t>Home KF 21 álló elektromos halogén hősugárzó fűtőtest, 400W/800W/1200W, oszcillálás, IP20 védelem, fekete/ezüst</t>
        </is>
      </c>
      <c r="C765" s="1" t="n">
        <v>12490.0</v>
      </c>
      <c r="D765" s="7" t="n">
        <f>HYPERLINK("https://www.somogyi.hu/product/home-kf-21-allo-elektromos-halogen-hosugarzo-futotest-400w-800w-1200w-oszcillalas-ip20-vedelem-fekete-ezust-fk-21-14754","https://www.somogyi.hu/product/home-kf-21-allo-elektromos-halogen-hosugarzo-futotest-400w-800w-1200w-oszcillalas-ip20-vedelem-fekete-ezust-fk-21-14754")</f>
        <v>0.0</v>
      </c>
      <c r="E765" s="7" t="n">
        <f>HYPERLINK("https://www.somogyi.hu/data/img/product_main_images/small/14754.jpg","https://www.somogyi.hu/data/img/product_main_images/small/14754.jpg")</f>
        <v>0.0</v>
      </c>
      <c r="F765" s="2" t="inlineStr">
        <is>
          <t>5999084927943</t>
        </is>
      </c>
      <c r="G765" s="4" t="inlineStr">
        <is>
          <t>Hűvösre fordult az időjárás, de nem szeretne sokat költeni a fűtésre? 
Az FK 21 halogén fűtőtest a hatékony és gazdaságos megoldás a hidegebb napokon. 
A készülék három különböző fűtési fokozattal rendelkezik: 400W, 800W vagy 1200W, így könnyedén elérheti a kívánt hőmérsékletet. 
Az FK 21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21 kiváló választás: automatikusan kikapcsol, ha felbillen, így mindig nyugodtan használhatja. 
A fűtőbetétje cserélhető, melyet az FK 21/T típusszámon tud megrendelni. 
Ne hagyja, hogy a hideg uralja az otthonát! Válassza a minőséget és a biztonságot!</t>
        </is>
      </c>
    </row>
    <row r="766">
      <c r="A766" s="3" t="inlineStr">
        <is>
          <t>FK 21/T</t>
        </is>
      </c>
      <c r="B766" s="2" t="inlineStr">
        <is>
          <t>Fűtőbetét FK 21-hez, 400W</t>
        </is>
      </c>
      <c r="C766" s="1" t="n">
        <v>1150.0</v>
      </c>
      <c r="D766" s="7" t="n">
        <f>HYPERLINK("https://www.somogyi.hu/product/futobetet-fk-21-hez-400w-fk-21-t-14907","https://www.somogyi.hu/product/futobetet-fk-21-hez-400w-fk-21-t-14907")</f>
        <v>0.0</v>
      </c>
      <c r="E766" s="7" t="n">
        <f>HYPERLINK("https://www.somogyi.hu/data/img/product_main_images/small/14907.jpg","https://www.somogyi.hu/data/img/product_main_images/small/14907.jpg")</f>
        <v>0.0</v>
      </c>
      <c r="F766" s="2" t="inlineStr">
        <is>
          <t>5999084929442</t>
        </is>
      </c>
      <c r="G766" s="4" t="inlineStr">
        <is>
          <t>Az FK 21/T Fűtőbetét 400 W, hossza 195 mm.
A fűtőbetét az FK 21 halogén fűtőtesthez vásárolható meg.</t>
        </is>
      </c>
    </row>
    <row r="767">
      <c r="A767" s="3" t="inlineStr">
        <is>
          <t>FKTW 501</t>
        </is>
      </c>
      <c r="B767" s="2" t="inlineStr">
        <is>
          <t>Home FKTW 501 fali elektromos törölközőszárító, 500W, LCD, fehér</t>
        </is>
      </c>
      <c r="C767" s="1" t="n">
        <v>58290.0</v>
      </c>
      <c r="D767" s="7" t="n">
        <f>HYPERLINK("https://www.somogyi.hu/product/home-fktw-501-fali-elektromos-torolkozoszarito-500w-lcd-feher-fktw-501-17361","https://www.somogyi.hu/product/home-fktw-501-fali-elektromos-torolkozoszarito-500w-lcd-feher-fktw-501-17361")</f>
        <v>0.0</v>
      </c>
      <c r="E767" s="7" t="n">
        <f>HYPERLINK("https://www.somogyi.hu/data/img/product_main_images/small/17361.jpg","https://www.somogyi.hu/data/img/product_main_images/small/17361.jpg")</f>
        <v>0.0</v>
      </c>
      <c r="F767" s="2" t="inlineStr">
        <is>
          <t>5999084953836</t>
        </is>
      </c>
      <c r="G767" s="4" t="inlineStr">
        <is>
          <t>Ez a készülék tökéletes kombinációja a funkcionalitásnak és a modern technológiának, így minden zuhanyzás után kellemesen meleg törölköző vár ránk!
Az 500 W teljesítménynek köszönhetően gyorsan és hatékonyan melegíti fel, szárítja meg a törölközőket. A beépített kezelőfelület és LCD kijelző gondoskodik arról, hogy könnyedén szabályozható legyen a hőmérséklet és az időzítés, pontosan az igényekhez igazítva.
Az elektronikus termosztát biztosítja, hogy mindig optimális hőmérsékleten működjön a törölközőszárító, így energiát takarítva meg. A heti program lehetőséget nyújt arra, hogy a működés előre beállítható legyen. A fagyőr funkció megakadályozza a szárító környezetének túlzott lehűlését.
Az ablaknyitás érzékelés egy olyan funkció, ami érzékeli, ha valaki kinyitja az ablakot, és ennek megfelelően szabályozza a működést.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68">
      <c r="A768" s="3" t="inlineStr">
        <is>
          <t>FTW 4</t>
        </is>
      </c>
      <c r="B768" s="2" t="inlineStr">
        <is>
          <t>Home FTW 4 fali fűtött elektromos törölközőszárító, 90W, IPX1 védelem, fehér</t>
        </is>
      </c>
      <c r="C768" s="1" t="n">
        <v>24990.0</v>
      </c>
      <c r="D768" s="7" t="n">
        <f>HYPERLINK("https://www.somogyi.hu/product/home-ftw-4-fali-futott-elektromos-torolkozoszarito-90w-ipx1-vedelem-feher-ftw-4-16463","https://www.somogyi.hu/product/home-ftw-4-fali-futott-elektromos-torolkozoszarito-90w-ipx1-vedelem-feher-ftw-4-16463")</f>
        <v>0.0</v>
      </c>
      <c r="E768" s="7" t="n">
        <f>HYPERLINK("https://www.somogyi.hu/data/img/product_main_images/small/16463.jpg","https://www.somogyi.hu/data/img/product_main_images/small/16463.jpg")</f>
        <v>0.0</v>
      </c>
      <c r="F768" s="2" t="inlineStr">
        <is>
          <t>5999084944957</t>
        </is>
      </c>
      <c r="G768" s="4" t="inlineStr">
        <is>
          <t>Hogyan érheti el, hogy a törölközői megszáradva várják zuhanyzás után? 
Az FTW 4 falra szerelhető, fűtött, elektromos törölközőszárítóval mostantól könnyedén! Az 5 törölközőtartó rúddal rendelkező készülék 90W-os teljesítménnyel garantálhatja, hogy törölközői gyorsan és egyenletesen száradjanak meg.  
A szárító IPX1 védelme biztosítja, hogy a függőlegesen csepegő víz ne okozzon problémát. 
Az FTW 4 méreteiből adódóan (60 x 44,5 x 9,5 cm) ideális nyaralóba, hétvégi vendékházakba. 
Az FTW 4 törölközőszárító használatával a frissítő zuhanyzások után mindig puha és meleg törölköző várja.</t>
        </is>
      </c>
    </row>
    <row r="769">
      <c r="A769" s="3" t="inlineStr">
        <is>
          <t>FKT 24CM</t>
        </is>
      </c>
      <c r="B769" s="2" t="inlineStr">
        <is>
          <t>Fűtőbetét, 24 cm, 400W</t>
        </is>
      </c>
      <c r="C769" s="1" t="n">
        <v>1350.0</v>
      </c>
      <c r="D769" s="7" t="n">
        <f>HYPERLINK("https://www.somogyi.hu/product/futobetet-24-cm-400w-fkt-24cm-7334","https://www.somogyi.hu/product/futobetet-24-cm-400w-fkt-24cm-7334")</f>
        <v>0.0</v>
      </c>
      <c r="E769" s="7" t="n">
        <f>HYPERLINK("https://www.somogyi.hu/data/img/product_main_images/small/07334.jpg","https://www.somogyi.hu/data/img/product_main_images/small/07334.jpg")</f>
        <v>0.0</v>
      </c>
      <c r="F769" s="2" t="inlineStr">
        <is>
          <t>5998312763230</t>
        </is>
      </c>
      <c r="G769" s="4" t="inlineStr">
        <is>
          <t>Az FK 6/K halogén fűtőtest kapcsolóval szabályozható teljesítménnyel rendelkezik, minőségi kialakításának köszönhetően pedig akár három fűtési fokozat (400 W / 800 W / 1200 W) közül is választhatunk. Alapesetben az FKT 24CM típusú fűtőbetét szolgáltatja számára a hősugárzást, amelyet, mint minden fogyó eszköz esetében, bizonyos időközönként ki kell cserélni. A minőségileg kialakított szerkezetét egy 24 cm hosszúságú cső formájú betét képzi, amely 400 W-os teljesítményt garantál a fűtőtest számára. Az előnyös tulajdonságainak köszönhetően élettartama kifejezetten magas és kiváló hősugárzást biztosít.</t>
        </is>
      </c>
    </row>
    <row r="770">
      <c r="A770" s="3" t="inlineStr">
        <is>
          <t>FKT 42CM</t>
        </is>
      </c>
      <c r="B770" s="2" t="inlineStr">
        <is>
          <t>Fűtőbetét, 42 cm, 600W</t>
        </is>
      </c>
      <c r="C770" s="1" t="n">
        <v>1490.0</v>
      </c>
      <c r="D770" s="7" t="n">
        <f>HYPERLINK("https://www.somogyi.hu/product/futobetet-42-cm-600w-fkt-42cm-7333","https://www.somogyi.hu/product/futobetet-42-cm-600w-fkt-42cm-7333")</f>
        <v>0.0</v>
      </c>
      <c r="E770" s="7" t="n">
        <f>HYPERLINK("https://www.somogyi.hu/data/img/product_main_images/small/07333.jpg","https://www.somogyi.hu/data/img/product_main_images/small/07333.jpg")</f>
        <v>0.0</v>
      </c>
      <c r="F770" s="2" t="inlineStr">
        <is>
          <t>5998312763223</t>
        </is>
      </c>
      <c r="G770" s="4" t="inlineStr">
        <is>
          <t>Az FK 2 karccsöves fűtőtest és az FK 22 fali hősugárzó egyaránt figyelemre méltó teljesítménnyel rendelkezik, ezért is a háztartások elmaradhatatlan kellékeinek számítanak. Esetükben az FKT 42CM típusú fűtőbetét szolgáltatja a hősugárzást, amelyet, mint minden fogyó eszköz esetében, bizonyos időközönként ki kell cserélni. A minőségileg kialakított szerkezetét egy 42 cm hosszúságú cső formájú betét képzi, amely 600 W-os teljesítményt garantál mindkét fűtőtest számára. Az előnyös tulajdonságainak köszönhetően élettartama kifejezetten magas és kiváló hősugárzást biztosít.</t>
        </is>
      </c>
    </row>
    <row r="771">
      <c r="A771" s="3" t="inlineStr">
        <is>
          <t>FK 25</t>
        </is>
      </c>
      <c r="B771" s="2" t="inlineStr">
        <is>
          <t>Home FK 25 falra szerelhető elektromos karbonszálas fűtőtest, 600W/1200W, állítható dőlésszög, ezüst</t>
        </is>
      </c>
      <c r="C771" s="1" t="n">
        <v>27790.0</v>
      </c>
      <c r="D771" s="7" t="n">
        <f>HYPERLINK("https://www.somogyi.hu/product/home-fk-25-falra-szerelheto-elektromos-karbonszalas-futotest-600w-1200w-allithato-dolesszog-ezust-fk-25-16931","https://www.somogyi.hu/product/home-fk-25-falra-szerelheto-elektromos-karbonszalas-futotest-600w-1200w-allithato-dolesszog-ezust-fk-25-16931")</f>
        <v>0.0</v>
      </c>
      <c r="E771" s="7" t="n">
        <f>HYPERLINK("https://www.somogyi.hu/data/img/product_main_images/small/16931.jpg","https://www.somogyi.hu/data/img/product_main_images/small/16931.jpg")</f>
        <v>0.0</v>
      </c>
      <c r="F771" s="2" t="inlineStr">
        <is>
          <t>5999084949631</t>
        </is>
      </c>
      <c r="G771" s="4" t="inlineStr">
        <is>
          <t>Mivel az FK 25 karbonszálas fűtőtest bel és kültéren egyaránt használható ideális megoldást kínál fürdőszoba, konyha és terasz gyors és költséghatékony befűtésére. A készülék 2 fűtési fokozatban (600W és 1200W) működik. IPX4 védelemmel ellátott, sem a fröccsenő víz sem a párás környezetben való használat nem jelent gondot.  A készülék zsinórkapcsolóval kényelmesen és könnyedén működtethető. A fűtőtest állítható dőlésszögű, így a hő pontosan oda irányítható, ahol a legnagyobb szükség van rá. Ne hagyja, hogy a hideg elüldözze teraszáról, használja a hűvösebb napokon az FK 25 karbonszálas fűtőtestet!</t>
        </is>
      </c>
    </row>
    <row r="772">
      <c r="A772" s="3" t="inlineStr">
        <is>
          <t>FK 24/T</t>
        </is>
      </c>
      <c r="B772" s="2" t="inlineStr">
        <is>
          <t>FK 24 fűtőbetét, 600  W</t>
        </is>
      </c>
      <c r="C772" s="1" t="n">
        <v>1150.0</v>
      </c>
      <c r="D772" s="7" t="n">
        <f>HYPERLINK("https://www.somogyi.hu/product/fk-24-futobetet-600-w-fk-24-t-13572","https://www.somogyi.hu/product/fk-24-futobetet-600-w-fk-24-t-13572")</f>
        <v>0.0</v>
      </c>
      <c r="E772" s="7" t="n">
        <f>HYPERLINK("https://www.somogyi.hu/data/img/product_main_images/small/13572.jpg","https://www.somogyi.hu/data/img/product_main_images/small/13572.jpg")</f>
        <v>0.0</v>
      </c>
      <c r="F772" s="2" t="inlineStr">
        <is>
          <t>5999084916244</t>
        </is>
      </c>
      <c r="G772" s="4" t="inlineStr">
        <is>
          <t>Az FK 24/T Fűtőbetét 600 W, hossza 385 mm. 
A fűtőbetét az FK 24 kvarccsöves fűtőtesthez vásárolható meg.</t>
        </is>
      </c>
    </row>
    <row r="773">
      <c r="A773" s="3" t="inlineStr">
        <is>
          <t>FK 24</t>
        </is>
      </c>
      <c r="B773" s="2" t="inlineStr">
        <is>
          <t>Home FK 24 falra szerelhető elektromos karccsöves fűtőtest, 600W/1200W,  IPX4 védelem, ezüst</t>
        </is>
      </c>
      <c r="C773" s="1" t="n">
        <v>11290.0</v>
      </c>
      <c r="D773" s="7" t="n">
        <f>HYPERLINK("https://www.somogyi.hu/product/home-fk-24-falra-szerelheto-elektromos-karccsoves-futotest-600w-1200w-ipx4-vedelem-ezust-fk-24-13571","https://www.somogyi.hu/product/home-fk-24-falra-szerelheto-elektromos-karccsoves-futotest-600w-1200w-ipx4-vedelem-ezust-fk-24-13571")</f>
        <v>0.0</v>
      </c>
      <c r="E773" s="7" t="n">
        <f>HYPERLINK("https://www.somogyi.hu/data/img/product_main_images/small/13571.jpg","https://www.somogyi.hu/data/img/product_main_images/small/13571.jpg")</f>
        <v>0.0</v>
      </c>
      <c r="F773" s="2" t="inlineStr">
        <is>
          <t>5999084916237</t>
        </is>
      </c>
      <c r="G773" s="4" t="inlineStr">
        <is>
          <t>Képzeljen el egy meleg fürdőszobát a hideg téli reggeleken! Az FK 24 kvarccsöves fűtőtest pontosan ezt az élményt kínálja! Az FK 24 kifejezetten fürdőszobai, vagy akár konyhai elhelyezésre alkalmas, nem csupán a falra szerelhető kialakítása miatt, hanem IPX4 védettségi fokozata miatt is. Sem a fröccsenő víz sem a párás környezetben való használat nem jelent gondot. A készülék 2 fűtési fokozata (600W és 1200W) garantálja a gyors és hatékony fűtést. A fűtőtest állítható dőlésszögű, így a hő pontosan oda irányítható, ahol a legnagyobb szükség van rá. Nem érdemes kihagyni ezt az optimális megoldást kis helyiségek gyors felfűtésére!</t>
        </is>
      </c>
    </row>
    <row r="774">
      <c r="A774" s="3" t="inlineStr">
        <is>
          <t>FKTW 502</t>
        </is>
      </c>
      <c r="B774" s="2" t="inlineStr">
        <is>
          <t>Home FKTW 502 fali elektromos törölközőszárító, 500W, távirányító, fehér</t>
        </is>
      </c>
      <c r="C774" s="1" t="n">
        <v>65590.0</v>
      </c>
      <c r="D774" s="7" t="n">
        <f>HYPERLINK("https://www.somogyi.hu/product/home-fktw-502-fali-elektromos-torolkozoszarito-500w-taviranyito-feher-fktw-502-17362","https://www.somogyi.hu/product/home-fktw-502-fali-elektromos-torolkozoszarito-500w-taviranyito-feher-fktw-502-17362")</f>
        <v>0.0</v>
      </c>
      <c r="E774" s="7" t="n">
        <f>HYPERLINK("https://www.somogyi.hu/data/img/product_main_images/small/17362.jpg","https://www.somogyi.hu/data/img/product_main_images/small/17362.jpg")</f>
        <v>0.0</v>
      </c>
      <c r="F774" s="2" t="inlineStr">
        <is>
          <t>5999084953843</t>
        </is>
      </c>
      <c r="G774" s="4" t="inlineStr">
        <is>
          <t>Ez a termék a funkcionalitás és modern technológia tökéletes ötvözete, hogy minden zuhanyzás után kellemesen meleg törölköző várjon Önre!
Az 500 W teljesítménynek köszönhetően a törölközők gyorsan és hatékonyan száradnak meg. A termék kizárólag a távirányítóval szabályozható. A távirányítóhoz szükséges 2 darab 1,5 V (AAA) elem nem tartozék.
Az elektronikus termosztát biztosítja, hogy mindig optimális hőmérsékleten működjön a törölközőszárító, így energiát takarítva meg. A heti program lehetőséget nyújt arra, hogy a működés előre beállítható legyen.A fagyőr funkció megakadályozza a szárító környezetének túlzott lehűlését.
Az ablaknyitás érzékelése egy intelligens megoldás, amely automatikusan reagál, ha valaki kinyitja az ablakot, így a készülék hatékonyabban működik és energiát takarít meg.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75">
      <c r="A775" s="3" t="inlineStr">
        <is>
          <t>FK 231/T</t>
        </is>
      </c>
      <c r="B775" s="2" t="inlineStr">
        <is>
          <t>Fűtőbetét FK 231-hez, 400W</t>
        </is>
      </c>
      <c r="C775" s="1" t="n">
        <v>1150.0</v>
      </c>
      <c r="D775" s="7" t="n">
        <f>HYPERLINK("https://www.somogyi.hu/product/futobetet-fk-231-hez-400w-fk-231-t-18276","https://www.somogyi.hu/product/futobetet-fk-231-hez-400w-fk-231-t-18276")</f>
        <v>0.0</v>
      </c>
      <c r="E775" s="7" t="n">
        <f>HYPERLINK("https://www.somogyi.hu/data/img/product_main_images/small/18276.jpg","https://www.somogyi.hu/data/img/product_main_images/small/18276.jpg")</f>
        <v>0.0</v>
      </c>
      <c r="F775" s="2" t="inlineStr">
        <is>
          <t>5999084962982</t>
        </is>
      </c>
      <c r="G775" s="4" t="inlineStr">
        <is>
          <t>Az FK 231/T Fűtőbetét 400 W, hossza 160 mm. 
A fűtőbetét az FK 231 halogén fűtőtesthez vásárolható meg.</t>
        </is>
      </c>
    </row>
    <row r="776">
      <c r="A776" s="3" t="inlineStr">
        <is>
          <t>FK 231</t>
        </is>
      </c>
      <c r="B776" s="2" t="inlineStr">
        <is>
          <t>Home KF 231 álló elektromos halogén hősugárzó fűtőtest, 400W/800W/1200W, oszcillálás, IP20 védelem, fekete/ezüst</t>
        </is>
      </c>
      <c r="C776" s="1" t="n">
        <v>13390.0</v>
      </c>
      <c r="D776" s="7" t="n">
        <f>HYPERLINK("https://www.somogyi.hu/product/home-kf-231-allo-elektromos-halogen-hosugarzo-futotest-400w-800w-1200w-oszcillalas-ip20-vedelem-fekete-ezust-fk-231-18275","https://www.somogyi.hu/product/home-kf-231-allo-elektromos-halogen-hosugarzo-futotest-400w-800w-1200w-oszcillalas-ip20-vedelem-fekete-ezust-fk-231-18275")</f>
        <v>0.0</v>
      </c>
      <c r="E776" s="7" t="n">
        <f>HYPERLINK("https://www.somogyi.hu/data/img/product_main_images/small/18275.jpg","https://www.somogyi.hu/data/img/product_main_images/small/18275.jpg")</f>
        <v>0.0</v>
      </c>
      <c r="F776" s="2" t="inlineStr">
        <is>
          <t>5999084962975</t>
        </is>
      </c>
      <c r="G776" s="4" t="inlineStr">
        <is>
          <t>Hűvösre fordult az időjárás, de nem szeretne sokat költeni a fűtésre? Az FK 231 halogén fűtőtest a hatékony és gazdaságos megoldás a hidegebb napokon. A készülék három különböző fűtési fokozattal rendelkezik: 400W, 800W vagy 1200W, így könnyedén elérheti a kívánt hőmérsékletet. Az FK 231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231 kiváló választás: automatikusan kikapcsol, ha felbillen, így mindig nyugodtan használhatja. A fűtőbetétje cserélhető, melyet az FK 231/T típusszámon tud megrendelni. Ne hagyja, hogy a hideg uralja az otthonát! Válassza a minőséget és a biztonságot!</t>
        </is>
      </c>
    </row>
    <row r="777">
      <c r="A777" s="6" t="inlineStr">
        <is>
          <t xml:space="preserve">   Fűtés, Párátlanítás, Párásítás / Konvektor fűtőtest, elektromos fűtőtest, fagyőr</t>
        </is>
      </c>
      <c r="B777" s="6" t="inlineStr">
        <is>
          <t/>
        </is>
      </c>
      <c r="C777" s="6" t="inlineStr">
        <is>
          <t/>
        </is>
      </c>
      <c r="D777" s="6" t="inlineStr">
        <is>
          <t/>
        </is>
      </c>
      <c r="E777" s="6" t="inlineStr">
        <is>
          <t/>
        </is>
      </c>
      <c r="F777" s="6" t="inlineStr">
        <is>
          <t/>
        </is>
      </c>
      <c r="G777" s="6" t="inlineStr">
        <is>
          <t/>
        </is>
      </c>
    </row>
    <row r="778">
      <c r="A778" s="3" t="inlineStr">
        <is>
          <t>FKIR 701 WIFI</t>
        </is>
      </c>
      <c r="B778" s="2" t="inlineStr">
        <is>
          <t>Home FKIR 701 WIFI falra szerelhető, infra smart elektromos hibrid fűtőtest, 700W, heti program, távirányító, fehér</t>
        </is>
      </c>
      <c r="C778" s="1" t="n">
        <v>63990.0</v>
      </c>
      <c r="D778" s="7" t="n">
        <f>HYPERLINK("https://www.somogyi.hu/product/home-fkir-701-wifi-falra-szerelheto-infra-smart-elektromos-hibrid-futotest-700w-heti-program-taviranyito-feher-fkir-701-wifi-17342","https://www.somogyi.hu/product/home-fkir-701-wifi-falra-szerelheto-infra-smart-elektromos-hibrid-futotest-700w-heti-program-taviranyito-feher-fkir-701-wifi-17342")</f>
        <v>0.0</v>
      </c>
      <c r="E778" s="7" t="n">
        <f>HYPERLINK("https://www.somogyi.hu/data/img/product_main_images/small/17342.jpg","https://www.somogyi.hu/data/img/product_main_images/small/17342.jpg")</f>
        <v>0.0</v>
      </c>
      <c r="F778" s="2" t="inlineStr">
        <is>
          <t>5999084953645</t>
        </is>
      </c>
      <c r="G778" s="4" t="inlineStr">
        <is>
          <t>Hogyan tudja otthonában a korszerű fűtési technológiát és a hagyományos hőérzet előnyeit kombinálni? Az FKIR 701 WIFI SMART Hibrid fűtőtest pont erre a kérdésre adja meg a tökéletes választ! 
Ez a 700W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3,1 kg tömegű és 120x50x5,5 cm méretű, így diszkréten, mégis hatékonyan működik. 
Ismerje meg az FKIR 701 WIFI SMART Hibrid fűtőtest előnyeit és élvezze a meleget ott, ahol a legnagyobb szüksége van rá!</t>
        </is>
      </c>
    </row>
    <row r="779">
      <c r="A779" s="3" t="inlineStr">
        <is>
          <t>FK 330</t>
        </is>
      </c>
      <c r="B779" s="2" t="inlineStr">
        <is>
          <t>Home FK 330 álló elektromos konvektor fűtőtest, 750W/1250W/2000W, fehér</t>
        </is>
      </c>
      <c r="C779" s="1" t="n">
        <v>11790.0</v>
      </c>
      <c r="D779" s="7" t="n">
        <f>HYPERLINK("https://www.somogyi.hu/product/home-fk-330-allo-elektromos-konvektor-futotest-750w-1250w-2000w-feher-fk-330-15971","https://www.somogyi.hu/product/home-fk-330-allo-elektromos-konvektor-futotest-750w-1250w-2000w-feher-fk-330-15971")</f>
        <v>0.0</v>
      </c>
      <c r="E779" s="7" t="n">
        <f>HYPERLINK("https://www.somogyi.hu/data/img/product_main_images/small/15971.jpg","https://www.somogyi.hu/data/img/product_main_images/small/15971.jpg")</f>
        <v>0.0</v>
      </c>
      <c r="F779" s="2" t="inlineStr">
        <is>
          <t>5999084940058</t>
        </is>
      </c>
      <c r="G779" s="4" t="inlineStr">
        <is>
          <t>Egy hatékony konvektoros fűtőtestet szeretne vásárolni, de nem tudja melyik lenne a legmegfelelőbb választás? Ismerje meg az FK 330 konvektor fűtőtestet.Ez a készülék három különböző fűtési fokozatban működik (750W/1250W/2000W), így könnyedén igényére alakíthatja a helység hőmérsékletét. 
A mechanikus termosztát gondoskodik arról, hogy a hőérzet stabil legyen.
Túlmelegedés esetén a készülék kikapcsol. 
Szabadon álló, így könnyedén elhelyezheti bármelyik szobában. A kompakt méretű (53x38x20 cm), minimális helyet foglal. 
Ne hagyja ki ezt a nagyszerű lehetőséget, és szerezze be az FK 330 konvektor fűtőtestet most, hogy mindig meleg és kellemes legyen otthona!</t>
        </is>
      </c>
    </row>
    <row r="780">
      <c r="A780" s="3" t="inlineStr">
        <is>
          <t>FKIR 351 WIFI</t>
        </is>
      </c>
      <c r="B780" s="2" t="inlineStr">
        <is>
          <t>Home FKIR 351 WIFI falra szerelhető, infra smart elektromos hibrid fűtőtest, 350W, heti program, távirányító, fehér</t>
        </is>
      </c>
      <c r="C780" s="1" t="n">
        <v>47690.0</v>
      </c>
      <c r="D780" s="7" t="n">
        <f>HYPERLINK("https://www.somogyi.hu/product/home-fkir-351-wifi-falra-szerelheto-infra-smart-elektromos-hibrid-futotest-350w-heti-program-taviranyito-feher-fkir-351-wifi-17341","https://www.somogyi.hu/product/home-fkir-351-wifi-falra-szerelheto-infra-smart-elektromos-hibrid-futotest-350w-heti-program-taviranyito-feher-fkir-351-wifi-17341")</f>
        <v>0.0</v>
      </c>
      <c r="E780" s="7" t="n">
        <f>HYPERLINK("https://www.somogyi.hu/data/img/product_main_images/small/17341.jpg","https://www.somogyi.hu/data/img/product_main_images/small/17341.jpg")</f>
        <v>0.0</v>
      </c>
      <c r="F780" s="2" t="inlineStr">
        <is>
          <t>5999084953638</t>
        </is>
      </c>
      <c r="G780" s="4" t="inlineStr">
        <is>
          <t>Hogyan tudja otthonában a korszerű fűtési technológiát és a hagyományos hőérzet előnyeit kombinálni? Az FKIR 351 WIFI SMART Hibrid fűtőtest pont erre a kérdésre adja meg a tökéletes választ! 
Ez a 350W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2 kg tömegű és 50x60x5,5 cm méretű, így diszkréten, mégis hatékonyan működik. 
Ismerje meg az FKIR 351 WIFI SMART Hibrid fűtőtest előnyeit és élvezze a meleget ott, ahol a legnagyobb szüksége van rá!</t>
        </is>
      </c>
    </row>
    <row r="781">
      <c r="A781" s="3" t="inlineStr">
        <is>
          <t>AGH0001S</t>
        </is>
      </c>
      <c r="B781" s="2" t="inlineStr">
        <is>
          <t>AENO Premium Eco Smart fűtőtest</t>
        </is>
      </c>
      <c r="C781" s="1" t="n">
        <v>102990.0</v>
      </c>
      <c r="D781" s="7" t="n">
        <f>HYPERLINK("https://www.somogyi.hu/product/aeno-premium-eco-smart-futotest-agh0001s-18015","https://www.somogyi.hu/product/aeno-premium-eco-smart-futotest-agh0001s-18015")</f>
        <v>0.0</v>
      </c>
      <c r="E781" s="7" t="n">
        <f>HYPERLINK("https://www.somogyi.hu/data/img/product_main_images/small/18015.jpg","https://www.somogyi.hu/data/img/product_main_images/small/18015.jpg")</f>
        <v>0.0</v>
      </c>
      <c r="F781" s="2" t="inlineStr">
        <is>
          <t>5903282319257</t>
        </is>
      </c>
      <c r="G781"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782">
      <c r="A782" s="3" t="inlineStr">
        <is>
          <t>FMC 2000</t>
        </is>
      </c>
      <c r="B782" s="2" t="inlineStr">
        <is>
          <t>Home FMC 2000 álló elektromos Mica konvektor, 1000W/2000W, távirányító, fehér</t>
        </is>
      </c>
      <c r="C782" s="1" t="n">
        <v>30490.0</v>
      </c>
      <c r="D782" s="7" t="n">
        <f>HYPERLINK("https://www.somogyi.hu/product/home-fmc-2000-allo-elektromos-mica-konvektor-1000w-2000w-taviranyito-feher-fmc-2000-18063","https://www.somogyi.hu/product/home-fmc-2000-allo-elektromos-mica-konvektor-1000w-2000w-taviranyito-feher-fmc-2000-18063")</f>
        <v>0.0</v>
      </c>
      <c r="E782" s="7" t="n">
        <f>HYPERLINK("https://www.somogyi.hu/data/img/product_main_images/small/18063.jpg","https://www.somogyi.hu/data/img/product_main_images/small/18063.jpg")</f>
        <v>0.0</v>
      </c>
      <c r="F782" s="2" t="inlineStr">
        <is>
          <t>5999084960858</t>
        </is>
      </c>
      <c r="G782" s="4" t="inlineStr">
        <is>
          <t>Tapasztalja meg a FMC 2000 Mica konvektor kényelmes melegét és funkcióinak teljes skáláját! 
Ez a beltéri fűtőtest MICA panelekkel rendelkezik, amelyek hihetetlenül gyorsan melegítik fel a helyiséget. 
A magas sugárzó hő meleg érzetet biztosít. Két különböző fűtési fokozat között választhat (1000W / 2000W),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(54 x 62 x 26,5 cm) köszönhetően az otthon bármely helyiségében könnyen elhelyezhető. 
Szerezze be most, és élvezze a komfortos meleget!</t>
        </is>
      </c>
    </row>
    <row r="783">
      <c r="A783" s="3" t="inlineStr">
        <is>
          <t>FK 54</t>
        </is>
      </c>
      <c r="B783" s="2" t="inlineStr">
        <is>
          <t>Home FK 54 álló elektromos smart kerámia fűtőtest, 1400W/2000W, oszcillálás, elektronikus termosztát, távirányító, fehér</t>
        </is>
      </c>
      <c r="C783" s="1" t="n">
        <v>20290.0</v>
      </c>
      <c r="D783" s="7" t="n">
        <f>HYPERLINK("https://www.somogyi.hu/product/home-fk-54-allo-elektromos-smart-keramia-futotest-1400w-2000w-oszcillalas-elektronikus-termosztat-taviranyito-feher-fk-54-18064","https://www.somogyi.hu/product/home-fk-54-allo-elektromos-smart-keramia-futotest-1400w-2000w-oszcillalas-elektronikus-termosztat-taviranyito-feher-fk-54-18064")</f>
        <v>0.0</v>
      </c>
      <c r="E783" s="7" t="n">
        <f>HYPERLINK("https://www.somogyi.hu/data/img/product_main_images/small/18064.jpg","https://www.somogyi.hu/data/img/product_main_images/small/18064.jpg")</f>
        <v>0.0</v>
      </c>
      <c r="F783" s="2" t="inlineStr">
        <is>
          <t>5999084960865</t>
        </is>
      </c>
      <c r="G783" s="4" t="inlineStr">
        <is>
          <t>Szeretne hideg téli napokon is meleg otthont? Az FK 54 álló kerámia fűtőtest használata kiváló választás! Ez az innovatív fűtőtest két kiváló teljesítményű fűtési fokozattal (1400W és 2000W) rendelkezik. Az érintőgombok és a fehér LED-kijelző intuitív használatot tesznek lehetővé, és a távirányítóval minden funkciót kényelmesen irányíthat. A PTC kerámia fűtőelem hatékony hőeloszlást biztosít 15-40°C fok között. Automatikusan kikapcsol túlmelegedés vagy felborulás esetén, így nyugodt lehet a használhat során. 24 órás kikapcsolás időzítővel és a kapcsolható oszcillálással energiatakarékosan és hatékonyan működtetheti a fűtőtestet. A mellékelt távirányítóhoz egy CR2025 gombelem is tartozik, így azonnal élvezheti a kényelmes vezérlést. Ne habozzon tovább, szerezzen be egy FK 54 fűtőkészüléket most, és tegye otthonát melegebbé a hideg napokon!</t>
        </is>
      </c>
    </row>
    <row r="784">
      <c r="A784" s="3" t="inlineStr">
        <is>
          <t>FKA 100</t>
        </is>
      </c>
      <c r="B784" s="2" t="inlineStr">
        <is>
          <t>Home FKA 100  fali elektromos fűtőtest 840/1000W, heti program, fagyőr funkció, fehér</t>
        </is>
      </c>
      <c r="C784" s="1" t="n">
        <v>50190.0</v>
      </c>
      <c r="D784" s="7" t="n">
        <f>HYPERLINK("https://www.somogyi.hu/product/home-fka-100-fali-elektromos-futotest-840-1000w-heti-program-fagyor-funkcio-feher-fka-100-17754","https://www.somogyi.hu/product/home-fka-100-fali-elektromos-futotest-840-1000w-heti-program-fagyor-funkcio-feher-fka-100-17754")</f>
        <v>0.0</v>
      </c>
      <c r="E784" s="7" t="n">
        <f>HYPERLINK("https://www.somogyi.hu/data/img/product_main_images/small/17754.jpg","https://www.somogyi.hu/data/img/product_main_images/small/17754.jpg")</f>
        <v>0.0</v>
      </c>
      <c r="F784" s="2" t="inlineStr">
        <is>
          <t>5999084957766</t>
        </is>
      </c>
      <c r="G784" s="4" t="inlineStr">
        <is>
          <t>FKA fali fűtőtest családunk észrevétlen megoldást kínál az otthon gazdaságos fűtésére. FKA 100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1000 W névleges teljesítmény gondoskodik arról, hogy nagyobb helyiségekben is megállja a helyét. FKA 100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100 mérete 54 x 44 x 9,45 cm.</t>
        </is>
      </c>
    </row>
    <row r="785">
      <c r="A785" s="3" t="inlineStr">
        <is>
          <t>AGH0002S</t>
        </is>
      </c>
      <c r="B785" s="2" t="inlineStr">
        <is>
          <t>AENO Premium Eco Smart fűtőtest</t>
        </is>
      </c>
      <c r="C785" s="1" t="n">
        <v>102990.0</v>
      </c>
      <c r="D785" s="7" t="n">
        <f>HYPERLINK("https://www.somogyi.hu/product/aeno-premium-eco-smart-futotest-agh0002s-18016","https://www.somogyi.hu/product/aeno-premium-eco-smart-futotest-agh0002s-18016")</f>
        <v>0.0</v>
      </c>
      <c r="E785" s="7" t="n">
        <f>HYPERLINK("https://www.somogyi.hu/data/img/product_main_images/small/18016.jpg","https://www.somogyi.hu/data/img/product_main_images/small/18016.jpg")</f>
        <v>0.0</v>
      </c>
      <c r="F785" s="2" t="inlineStr">
        <is>
          <t>5903282319264</t>
        </is>
      </c>
      <c r="G785"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786">
      <c r="A786" s="3" t="inlineStr">
        <is>
          <t>FK 350 WIFI</t>
        </is>
      </c>
      <c r="B786" s="2" t="inlineStr">
        <is>
          <t>Home FK 350 WIFI szabadon álló smart elektromos konvektor fűtőtest, 1000W/1300W/2300W, távirányító, fagyőr funkció, fehér</t>
        </is>
      </c>
      <c r="C786" s="1" t="n">
        <v>36190.0</v>
      </c>
      <c r="D786" s="7" t="n">
        <f>HYPERLINK("https://www.somogyi.hu/product/home-fk-350-wifi-szabadon-allo-smart-elektromos-konvektor-futotest-1000w-1300w-2300w-taviranyito-fagyor-funkcio-feher-fk-350-wifi-16932","https://www.somogyi.hu/product/home-fk-350-wifi-szabadon-allo-smart-elektromos-konvektor-futotest-1000w-1300w-2300w-taviranyito-fagyor-funkcio-feher-fk-350-wifi-16932")</f>
        <v>0.0</v>
      </c>
      <c r="E786" s="7" t="n">
        <f>HYPERLINK("https://www.somogyi.hu/data/img/product_main_images/small/16932.jpg","https://www.somogyi.hu/data/img/product_main_images/small/16932.jpg")</f>
        <v>0.0</v>
      </c>
      <c r="F786" s="2" t="inlineStr">
        <is>
          <t>5999084949648</t>
        </is>
      </c>
      <c r="G786" s="4" t="inlineStr">
        <is>
          <t>Lehetséges távolról, okostelefonnal irányítania az otthoni fűtését? Igen, az FK 350 WIFI smart konvektor fűtőtestet lehet.
Ez az intelligens fűtőtest lehetővé teszi, hogy egyszerűen és kényelmesen szabályozza az otthoni hőmérsékletet távolról vezérelve. Az FK 350 WIFI három fűtési fokozattal rendelkezik (1000/1300W/2300W), amit érintőgombokkal, távirányítóval vagy ingyenes okostelefonos alkalmazással egyszerűen lehet szabályozni, míg az elektronikus termosztát gondoskodik a pontos beállításról. 
A 24 órás kikapcsolásidőzítés funkcióval a fűtőtest pontos kikapcsolása vezérelhető, így energiafogyasztását optimalizálni tudja. 
A fűtőtesten külön kapcsolható turbó ventilátor, illetve fagyőr funkcióval ellátott. 
A készülék szabadon álló kivitelű. Mérete (68x41,5x18 cm) optimális, így bármelyik szobában helyet kaphat. 
Szerezze be az FK 350 WIFI smart konvektor fűtőtestet, és élvezze az intelligens fűtés előnyeit otthonában!</t>
        </is>
      </c>
    </row>
    <row r="787">
      <c r="A787" s="3" t="inlineStr">
        <is>
          <t>FKA 70</t>
        </is>
      </c>
      <c r="B787" s="2" t="inlineStr">
        <is>
          <t>Home FKA 70  fali elektromos fűtőtest 590/700W, heti program, fagyőr funkció, fehér</t>
        </is>
      </c>
      <c r="C787" s="1" t="n">
        <v>43790.0</v>
      </c>
      <c r="D787" s="7" t="n">
        <f>HYPERLINK("https://www.somogyi.hu/product/home-fka-70-fali-elektromos-futotest-590-700w-heti-program-fagyor-funkcio-feher-fka-70-17755","https://www.somogyi.hu/product/home-fka-70-fali-elektromos-futotest-590-700w-heti-program-fagyor-funkcio-feher-fka-70-17755")</f>
        <v>0.0</v>
      </c>
      <c r="E787" s="7" t="n">
        <f>HYPERLINK("https://www.somogyi.hu/data/img/product_main_images/small/17755.jpg","https://www.somogyi.hu/data/img/product_main_images/small/17755.jpg")</f>
        <v>0.0</v>
      </c>
      <c r="F787" s="2" t="inlineStr">
        <is>
          <t>5999084957773</t>
        </is>
      </c>
      <c r="G787" s="4" t="inlineStr">
        <is>
          <t>FKA fali fűtőtest családunk észrevétlen megoldást kínál az otthon gazdaságos fűtésére. FKA 70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700 W névleges teljesítmény gondoskodik arról, hogy akár nagyobb helyiségekben is megállja a helyét. FKA 70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70 mérete mindössze 39 x 44 x 9,45 cm.</t>
        </is>
      </c>
    </row>
    <row r="788">
      <c r="A788" s="3" t="inlineStr">
        <is>
          <t>FKA 150</t>
        </is>
      </c>
      <c r="B788" s="2" t="inlineStr">
        <is>
          <t>Home FKA 150  fali elektromos fűtőtest 1250/1500W, heti program, fagyőr funkció, fehér</t>
        </is>
      </c>
      <c r="C788" s="1" t="n">
        <v>59290.0</v>
      </c>
      <c r="D788" s="7" t="n">
        <f>HYPERLINK("https://www.somogyi.hu/product/home-fka-150-fali-elektromos-futotest-1250-1500w-heti-program-fagyor-funkcio-feher-fka-150-17756","https://www.somogyi.hu/product/home-fka-150-fali-elektromos-futotest-1250-1500w-heti-program-fagyor-funkcio-feher-fka-150-17756")</f>
        <v>0.0</v>
      </c>
      <c r="E788" s="7" t="n">
        <f>HYPERLINK("https://www.somogyi.hu/data/img/product_main_images/small/17756.jpg","https://www.somogyi.hu/data/img/product_main_images/small/17756.jpg")</f>
        <v>0.0</v>
      </c>
      <c r="F788" s="2" t="inlineStr">
        <is>
          <t>5999084957780</t>
        </is>
      </c>
      <c r="G788" s="4" t="inlineStr">
        <is>
          <t>FKA fali fűtőtest családunk észrevétlen megoldást kínál az otthon gazdaságos fűtésére. FKA 150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1500 W névleges teljesítmény gondoskodik arról, hogy nagyobb helyiségekben is kiválóan megállja a helyét. FKA 150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150 mérete 69 x 44 x 9,45 cm.</t>
        </is>
      </c>
    </row>
    <row r="789">
      <c r="A789" s="3" t="inlineStr">
        <is>
          <t>FK 55</t>
        </is>
      </c>
      <c r="B789" s="2" t="inlineStr">
        <is>
          <t>Home FK 55 álló elektromos kerámia fűtőtest digitális termosztáttal, 1000W/1500W, oszcillálás, kikapcsolás időzítő, fehér</t>
        </is>
      </c>
      <c r="C789" s="1" t="n">
        <v>12790.0</v>
      </c>
      <c r="D789" s="7" t="n">
        <f>HYPERLINK("https://www.somogyi.hu/product/home-fk-55-allo-elektromos-keramia-futotest-digitalis-termosztattal-1000w-1500w-oszcillalas-kikapcsolas-idozito-feher-fk-55-18105","https://www.somogyi.hu/product/home-fk-55-allo-elektromos-keramia-futotest-digitalis-termosztattal-1000w-1500w-oszcillalas-kikapcsolas-idozito-feher-fk-55-18105")</f>
        <v>0.0</v>
      </c>
      <c r="E789" s="7" t="n">
        <f>HYPERLINK("https://www.somogyi.hu/data/img/product_main_images/small/18105.jpg","https://www.somogyi.hu/data/img/product_main_images/small/18105.jpg")</f>
        <v>0.0</v>
      </c>
      <c r="F789" s="2" t="inlineStr">
        <is>
          <t>5999084961275</t>
        </is>
      </c>
      <c r="G789" s="4" t="inlineStr">
        <is>
          <t>Szeretné otthona melegét pontosan szabályozni? Az FK 55 kerámia fűtőtest digitális termosztátjának segítségével testre tudja szabni fűtési igényét. Ez az intelligens fűtőtest 1000W és 1500W teljesítményű fűtési fokozatokkal rendelkezik. Így megfelelően válthat a hideg, a meleg és a forró levegő között az érintőgombok és fehér LED-kijelző segítségével. Az elektronikus termosztát lehetővé teszi, hogy beállítsa a kívánt hőmérsékletet 15-45°C között, így mindig ideális klímát teremthet otthonában. Nem kell aggódnia, hogy elfelejtette kikapcsolni, mert az FK 55 esetében beállítható egy  12 órás kikapcsolásidőzítés is. A kapcsolható oszcillációval hatékonyan oszlatja szét a meleget, és ha esetleg túlmelegedne vagy felborulna, automatikusan kikapcsol, így garantált a biztonságos üzemeltetés. Ne várjon tovább! Vigyen melegséget otthonába az FK 55 kerámia fűtőkészülékkel!</t>
        </is>
      </c>
    </row>
    <row r="790">
      <c r="A790" s="3" t="inlineStr">
        <is>
          <t>FMC 1500</t>
        </is>
      </c>
      <c r="B790" s="2" t="inlineStr">
        <is>
          <t>Home FMC 1500 álló elektromos Mica konvektor, 1000W/1500W, távirányító, fekete</t>
        </is>
      </c>
      <c r="C790" s="1" t="n">
        <v>27790.0</v>
      </c>
      <c r="D790" s="7" t="n">
        <f>HYPERLINK("https://www.somogyi.hu/product/home-fmc-1500-allo-elektromos-mica-konvektor-1000w-1500w-taviranyito-fekete-fmc-1500-18062","https://www.somogyi.hu/product/home-fmc-1500-allo-elektromos-mica-konvektor-1000w-1500w-taviranyito-fekete-fmc-1500-18062")</f>
        <v>0.0</v>
      </c>
      <c r="E790" s="7" t="n">
        <f>HYPERLINK("https://www.somogyi.hu/data/img/product_main_images/small/18062.jpg","https://www.somogyi.hu/data/img/product_main_images/small/18062.jpg")</f>
        <v>0.0</v>
      </c>
      <c r="F790" s="2" t="inlineStr">
        <is>
          <t>5999084960841</t>
        </is>
      </c>
      <c r="G790" s="4" t="inlineStr">
        <is>
          <t>Tapasztalja meg a FMC 1500 Mica konvektor kényelmes melegét és funkcióinak teljes skáláját! 
Ez a beltéri fűtőtest MICA panelekkel rendelkezik, amelyek hihetetlenül gyorsan melegítik fel a helyiséget. 
A magas sugárzó hő aránya kényelmes és meleg érzetet biztosít. Két különböző fűtési fokozat között választhat (1000 W / 1500 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(45 x 62 x 26,5 cm) köszönhetően az otthon bármely helyiségében könnyen elhelyezhető. 
Szerezze be most, és élvezze a komfortos meleget!</t>
        </is>
      </c>
    </row>
    <row r="791">
      <c r="A791" s="3" t="inlineStr">
        <is>
          <t>BIN8210 ADXF2400</t>
        </is>
      </c>
      <c r="B791" s="2" t="inlineStr">
        <is>
          <t>Home BIN8210 hőtárolós smart fűtőtest, 750 W - 2400 W, TUYA applikáció, túlmelegedés védelem, gyerekzár, automata és manuális üzemmód</t>
        </is>
      </c>
      <c r="C791" s="1" t="n">
        <v>194990.0</v>
      </c>
      <c r="D791" s="7" t="n">
        <f>HYPERLINK("https://www.somogyi.hu/product/home-bin8210-hotarolos-smart-futotest-750-w-2400-w-tuya-applikacio-tulmelegedes-vedelem-gyerekzar-automata-es-manualis-uzemmod-bin8210-adxf2400-18408","https://www.somogyi.hu/product/home-bin8210-hotarolos-smart-futotest-750-w-2400-w-tuya-applikacio-tulmelegedes-vedelem-gyerekzar-automata-es-manualis-uzemmod-bin8210-adxf2400-18408")</f>
        <v>0.0</v>
      </c>
      <c r="E791" s="7" t="n">
        <f>HYPERLINK("https://www.somogyi.hu/data/img/product_main_images/small/18408.jpg","https://www.somogyi.hu/data/img/product_main_images/small/18408.jpg")</f>
        <v>0.0</v>
      </c>
      <c r="F791" s="2" t="inlineStr">
        <is>
          <t>8606107662114</t>
        </is>
      </c>
      <c r="G791" s="4" t="inlineStr">
        <is>
          <t>Kíváncsi, hogyan teheti otthonát még kényelmesebbé és energiatakarékosabbá? A Home BIN8210 hőtárolós smart fűtőtest intelligens megoldást kínál a modern otthonok számára.
Ez a 2400 W-os hőtároló és 750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87 x 61,8 x 18,7 cm, a készülék tömege téglákkal együtt 128 kg.
Válassza a Home BIN8210 hőtárolós smart fűtőtestet az okos és energiatakarékos fűtésért otthonában!</t>
        </is>
      </c>
    </row>
    <row r="792">
      <c r="A792" s="3" t="inlineStr">
        <is>
          <t>BIN8110 ADXF1600</t>
        </is>
      </c>
      <c r="B792" s="2" t="inlineStr">
        <is>
          <t>Home BIN8110 hőtárolós smart fűtőtest, 500 W - 1600 W, TUYA applikáció, túlmelegedés védelem, gyerekzár, automata és manuális üzemmód</t>
        </is>
      </c>
      <c r="C792" s="1" t="n">
        <v>167990.0</v>
      </c>
      <c r="D792" s="7" t="n">
        <f>HYPERLINK("https://www.somogyi.hu/product/home-bin8110-hotarolos-smart-futotest-500-w-1600-w-tuya-applikacio-tulmelegedes-vedelem-gyerekzar-automata-es-manualis-uzemmod-bin8110-adxf1600-18407","https://www.somogyi.hu/product/home-bin8110-hotarolos-smart-futotest-500-w-1600-w-tuya-applikacio-tulmelegedes-vedelem-gyerekzar-automata-es-manualis-uzemmod-bin8110-adxf1600-18407")</f>
        <v>0.0</v>
      </c>
      <c r="E792" s="7" t="n">
        <f>HYPERLINK("https://www.somogyi.hu/data/img/product_main_images/small/18407.jpg","https://www.somogyi.hu/data/img/product_main_images/small/18407.jpg")</f>
        <v>0.0</v>
      </c>
      <c r="F792" s="2" t="inlineStr">
        <is>
          <t>8606107662107</t>
        </is>
      </c>
      <c r="G792" s="4" t="inlineStr">
        <is>
          <t>Kíváncsi, hogyan teheti otthonát még kényelmesebbé és energiatakarékosabbá? A Home BIN8110 hőtárolós smart fűtőtest intelligens megoldást kínál a modern otthonok számára.
Ez a 1600 W-os hőtároló és 500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64 x 61,8 x 18,7 cm, a készülék tömege téglákkal együtt 88 kg.
Válassza a Home BIN8110 hőtárolós smart fűtőtestet az okos és energiatakarékos fűtésért otthonában!</t>
        </is>
      </c>
    </row>
    <row r="793">
      <c r="A793" s="3" t="inlineStr">
        <is>
          <t>FKIR 722</t>
        </is>
      </c>
      <c r="B793" s="2" t="inlineStr">
        <is>
          <t>Home FKIR 722 falra vagy plafonra szerelhető infra elektromos hibrid fűtőtest, 720W, heti program, távirányító, fehér</t>
        </is>
      </c>
      <c r="C793" s="1" t="n">
        <v>98890.0</v>
      </c>
      <c r="D793" s="7" t="n">
        <f>HYPERLINK("https://www.somogyi.hu/product/home-fkir-722-falra-vagy-plafonra-szerelheto-infra-elektromos-hibrid-futotest-720w-heti-program-taviranyito-feher-fkir-722-17763","https://www.somogyi.hu/product/home-fkir-722-falra-vagy-plafonra-szerelheto-infra-elektromos-hibrid-futotest-720w-heti-program-taviranyito-feher-fkir-722-17763")</f>
        <v>0.0</v>
      </c>
      <c r="E793" s="7" t="n">
        <f>HYPERLINK("https://www.somogyi.hu/data/img/product_main_images/small/17763.jpg","https://www.somogyi.hu/data/img/product_main_images/small/17763.jpg")</f>
        <v>0.0</v>
      </c>
      <c r="F793" s="2" t="inlineStr">
        <is>
          <t>5999084957858</t>
        </is>
      </c>
      <c r="G793" s="4" t="inlineStr">
        <is>
          <t>Hogyan tudja otthonában a korszerű fűtési technológiát és a hagyományos hőérzet előnyeit kombinálni? Az FKIR 722 Hibrid fűtőtest pont erre a kérdésre adja meg a tökéletes választ!
Ez a 720W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5,1 kg tömegű és 119,5x59,5x4 cm méretű, így diszkréten, mégis hatékonyan működik.
Ismerje meg az FKIR 722 Hibrid fűtőtest előnyeit és élvezze a meleget ott, ahol a legnagyobb szüksége van rá!</t>
        </is>
      </c>
    </row>
    <row r="794">
      <c r="A794" s="3" t="inlineStr">
        <is>
          <t>AGH0005S</t>
        </is>
      </c>
      <c r="B794" s="2" t="inlineStr">
        <is>
          <t>AENO Premium Eco Smart fűtőtest</t>
        </is>
      </c>
      <c r="C794" s="1" t="n">
        <v>115990.0</v>
      </c>
      <c r="D794" s="7" t="n">
        <f>HYPERLINK("https://www.somogyi.hu/product/aeno-premium-eco-smart-futotest-agh0005s-18324","https://www.somogyi.hu/product/aeno-premium-eco-smart-futotest-agh0005s-18324")</f>
        <v>0.0</v>
      </c>
      <c r="E794" s="7" t="n">
        <f>HYPERLINK("https://www.somogyi.hu/data/img/product_main_images/small/18324.jpg","https://www.somogyi.hu/data/img/product_main_images/small/18324.jpg")</f>
        <v>0.0</v>
      </c>
      <c r="F794" s="2" t="inlineStr">
        <is>
          <t>5903282319493</t>
        </is>
      </c>
      <c r="G794" s="4" t="inlineStr">
        <is>
          <t xml:space="preserve"> • WIFI: van (2.4 GHz) 
 • szín: szürke (nemes szürke)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795">
      <c r="A795" s="3" t="inlineStr">
        <is>
          <t>FK 430 WIFI</t>
        </is>
      </c>
      <c r="B795" s="2" t="inlineStr">
        <is>
          <t>Home FK 430 WIFI álló vagy falra szerelhető smart elektromos konvektor fűtőtest, 1000W/2000W, edzett üveg előlap, fekete</t>
        </is>
      </c>
      <c r="C795" s="1" t="n">
        <v>48790.0</v>
      </c>
      <c r="D795" s="7" t="n">
        <f>HYPERLINK("https://www.somogyi.hu/product/home-fk-430-wifi-allo-vagy-falra-szerelheto-smart-elektromos-konvektor-futotest-1000w-2000w-edzett-uveg-elolap-fekete-fk-430-wifi-16460","https://www.somogyi.hu/product/home-fk-430-wifi-allo-vagy-falra-szerelheto-smart-elektromos-konvektor-futotest-1000w-2000w-edzett-uveg-elolap-fekete-fk-430-wifi-16460")</f>
        <v>0.0</v>
      </c>
      <c r="E795" s="7" t="n">
        <f>HYPERLINK("https://www.somogyi.hu/data/img/product_main_images/small/16460.jpg","https://www.somogyi.hu/data/img/product_main_images/small/16460.jpg")</f>
        <v>0.0</v>
      </c>
      <c r="F795" s="2" t="inlineStr">
        <is>
          <t>5999084944926</t>
        </is>
      </c>
      <c r="G795" s="4" t="inlineStr">
        <is>
          <t>Lehetséges távolról, okostelefonnal irányítania az otthoni fűtését? Igen, az FK 430 WIFI smart konvektor fűtőtestet lehet. 
Ez az intelligens fűtőtest lehetővé teszi, hogy egyszerűen és kényelmesen szabályozza az otthoni hőmérsékletet távolról vezérelve. 
Az FK 430 WIFI két fűtési fokozattal rendelkezik (1000W/2000W), amit érintőgombokkal vagy okostelefonnal egyszerűen lehet szabályozni, míg az elektronikus termosztát gondoskodik a pontos beállításról. 
Az edzett üveg előlap elegáns megjelenést kölcsönöz a terméknek.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430 WIFI IPX4 védelemmel ellátott, így a fröccsenő víz sem jelent gondot, párás környezetekben is gond nélkül használható.
Túlmelegedés esetén a készülék automatikusan kikapcsol. Gyerekzáras termék. 
Az FK 430 WIFI szabadon álló, de falra is szerelhető, hogy rugalmasan tudja otthona berendezéséhez igazítani. Mérete (92x43x24 cm) optimális, így bármelyik szobában helyet kaphat. 
Szerezze be az FK 430 WIFI smart konvektor fűtőtestet, és élvezze az intelligens fűtés előnyeit otthonában!</t>
        </is>
      </c>
    </row>
    <row r="796">
      <c r="A796" s="3" t="inlineStr">
        <is>
          <t>FK 420 WIFI</t>
        </is>
      </c>
      <c r="B796" s="2" t="inlineStr">
        <is>
          <t>Home FK 420 WIFI álló vagy falra szerelhető smart elektromos konvektor fűtőtest, 1000W/2000W, fehér</t>
        </is>
      </c>
      <c r="C796" s="1" t="n">
        <v>49590.0</v>
      </c>
      <c r="D796" s="7" t="n">
        <f>HYPERLINK("https://www.somogyi.hu/product/home-fk-420-wifi-allo-vagy-falra-szerelheto-smart-elektromos-konvektor-futotest-1000w-2000w-feher-fk-420-wifi-16459","https://www.somogyi.hu/product/home-fk-420-wifi-allo-vagy-falra-szerelheto-smart-elektromos-konvektor-futotest-1000w-2000w-feher-fk-420-wifi-16459")</f>
        <v>0.0</v>
      </c>
      <c r="E796" s="7" t="n">
        <f>HYPERLINK("https://www.somogyi.hu/data/img/product_main_images/small/16459.jpg","https://www.somogyi.hu/data/img/product_main_images/small/16459.jpg")</f>
        <v>0.0</v>
      </c>
      <c r="F796" s="2" t="inlineStr">
        <is>
          <t>5999084944919</t>
        </is>
      </c>
      <c r="G796" s="4" t="inlineStr">
        <is>
          <t>Lehetséges távolról, okostelefonnal irányítania az otthoni fűtését? Igen, az FK 420 WIFI smart konvektor fűtőtestet lehet. 
Ez az intelligens fűtőtest lehetővé teszi, hogy egyszerűen és kényelmesen szabályozza az otthoni hőmérsékletet távolról vezérelve. 
Az FK 420 WIFI két fűtési fokozattal rendelkezik (1000W/2000W),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420 WIFI IPX4 védelemmel ellátott, így a fröccsenő víz sem jelent gondot, párás környezetekben is gond nélkül használható. 
Túlmelegedés esetén a készülék automatikusan kikapcsol. Gyerekzáras termék. 
Az FK 420 WIFI szabadon álló, de falra is szerelhető, hogy rugalmasan tudja otthona berendezéséhez igazítani. Mérete (92x43x24 cm) optimális, így bármelyik szobában helyet kaphat. 
Szerezze be az FK 420 WIFI smart konvektor fűtőtestet, és élvezze az intelligens fűtés előnyeit otthonában!</t>
        </is>
      </c>
    </row>
    <row r="797">
      <c r="A797" s="3" t="inlineStr">
        <is>
          <t>FK 410 WIFI</t>
        </is>
      </c>
      <c r="B797" s="2" t="inlineStr">
        <is>
          <t>Home FK 410 WIFI álló vagy falra szerelhető smart elektromos konvektor fűtőtest, 500W/1000W, fehér</t>
        </is>
      </c>
      <c r="C797" s="1" t="n">
        <v>39990.0</v>
      </c>
      <c r="D797" s="7" t="n">
        <f>HYPERLINK("https://www.somogyi.hu/product/home-fk-410-wifi-allo-vagy-falra-szerelheto-smart-elektromos-konvektor-futotest-500w-1000w-feher-fk-410-wifi-16458","https://www.somogyi.hu/product/home-fk-410-wifi-allo-vagy-falra-szerelheto-smart-elektromos-konvektor-futotest-500w-1000w-feher-fk-410-wifi-16458")</f>
        <v>0.0</v>
      </c>
      <c r="E797" s="7" t="n">
        <f>HYPERLINK("https://www.somogyi.hu/data/img/product_main_images/small/16458.jpg","https://www.somogyi.hu/data/img/product_main_images/small/16458.jpg")</f>
        <v>0.0</v>
      </c>
      <c r="F797" s="2" t="inlineStr">
        <is>
          <t>5999084944902</t>
        </is>
      </c>
      <c r="G797" s="4" t="inlineStr">
        <is>
          <t>Lehetséges távolról, okostelefonnal irányítania az otthoni fűtését? Igen, az FK 410 WIFI smart konvektor fűtőtestet lehet. 
Ez az intelligens fűtőtest lehetővé teszi, hogy egyszerűen és kényelmesen szabályozza az otthoni hőmérsékletet távolról vezérelve. 
Az FK 410 WIFI két fűtési fokozattal rendelkezik (500W/1000W),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410 WIFI IPX4 védelemmel ellátott, így a fröccsenő víz sem jelent gondot, párás környezetekben is gond nélkül használható. 
Túlmelegedés esetén a készülék automatikusan kikapcsol. Gyerekzáras termék. 
Az FK 410 WIFI szabadon álló, de falra is szerelhető, hogy rugalmasan tudja otthona berendezéséhez igazítani. Mérete (60x43x24 cm) optimális, így bármelyik szobában helyet kaphat.
Szerezze be az FK 410 WIFI smart konvektor fűtőtestet, és élvezze az intelligens fűtés előnyeit otthonában!</t>
        </is>
      </c>
    </row>
    <row r="798">
      <c r="A798" s="3" t="inlineStr">
        <is>
          <t>FKA 200</t>
        </is>
      </c>
      <c r="B798" s="2" t="inlineStr">
        <is>
          <t>Home FKA 200  fali elektromos fűtőtest 1680/2000W, heti program, fagyőr funkció, fehér</t>
        </is>
      </c>
      <c r="C798" s="1" t="n">
        <v>71190.0</v>
      </c>
      <c r="D798" s="7" t="n">
        <f>HYPERLINK("https://www.somogyi.hu/product/home-fka-200-fali-elektromos-futotest-1680-2000w-heti-program-fagyor-funkcio-feher-fka-200-17757","https://www.somogyi.hu/product/home-fka-200-fali-elektromos-futotest-1680-2000w-heti-program-fagyor-funkcio-feher-fka-200-17757")</f>
        <v>0.0</v>
      </c>
      <c r="E798" s="7" t="n">
        <f>HYPERLINK("https://www.somogyi.hu/data/img/product_main_images/small/17757.jpg","https://www.somogyi.hu/data/img/product_main_images/small/17757.jpg")</f>
        <v>0.0</v>
      </c>
      <c r="F798" s="2" t="inlineStr">
        <is>
          <t>5999084957797</t>
        </is>
      </c>
      <c r="G798" s="4" t="inlineStr">
        <is>
          <t>FKA fali fűtőtest családunk észrevétlen megoldást kínál az otthon gazdaságos fűtésére. FKA 200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2000 W névleges teljesítmény gondoskodik arról, hogy nagyobb helyiségekben is kiválóan megállja a helyét. FKA 200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200 mérete 84 x 44 x 9,45 cm.</t>
        </is>
      </c>
    </row>
    <row r="799">
      <c r="A799" s="3" t="inlineStr">
        <is>
          <t>AGH0004S</t>
        </is>
      </c>
      <c r="B799" s="2" t="inlineStr">
        <is>
          <t>AENO Premium Eco Smart fűtőtest</t>
        </is>
      </c>
      <c r="C799" s="1" t="n">
        <v>115990.0</v>
      </c>
      <c r="D799" s="7" t="n">
        <f>HYPERLINK("https://www.somogyi.hu/product/aeno-premium-eco-smart-futotest-agh0004s-18323","https://www.somogyi.hu/product/aeno-premium-eco-smart-futotest-agh0004s-18323")</f>
        <v>0.0</v>
      </c>
      <c r="E799" s="7" t="n">
        <f>HYPERLINK("https://www.somogyi.hu/data/img/product_main_images/small/18323.jpg","https://www.somogyi.hu/data/img/product_main_images/small/18323.jpg")</f>
        <v>0.0</v>
      </c>
      <c r="F799" s="2" t="inlineStr">
        <is>
          <t>5903282319387</t>
        </is>
      </c>
      <c r="G799" s="4" t="inlineStr">
        <is>
          <t xml:space="preserve"> • WIFI: van (2.4 GHz) 
 • szín: fekete (Pearl Black)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800">
      <c r="A800" s="3" t="inlineStr">
        <is>
          <t>FKIR 270 WIFI</t>
        </is>
      </c>
      <c r="B800" s="2" t="inlineStr">
        <is>
          <t>Home FKIR 270 WIFI álló smart elektromos infra fűtőtest, 1000W, fehér</t>
        </is>
      </c>
      <c r="C800" s="1" t="n">
        <v>144990.0</v>
      </c>
      <c r="D800" s="7" t="n">
        <f>HYPERLINK("https://www.somogyi.hu/product/home-fkir-270-wifi-allo-smart-elektromos-infra-futotest-1000w-feher-fkir-270-wifi-18066","https://www.somogyi.hu/product/home-fkir-270-wifi-allo-smart-elektromos-infra-futotest-1000w-feher-fkir-270-wifi-18066")</f>
        <v>0.0</v>
      </c>
      <c r="E800" s="7" t="n">
        <f>HYPERLINK("https://www.somogyi.hu/data/img/product_main_images/small/18066.jpg","https://www.somogyi.hu/data/img/product_main_images/small/18066.jpg")</f>
        <v>0.0</v>
      </c>
      <c r="F800" s="2" t="inlineStr">
        <is>
          <t>5999084960889</t>
        </is>
      </c>
      <c r="G800" s="4" t="inlineStr">
        <is>
          <t>Keresi a legideálisabb fűtési megoldást a hideg téli hónapokra? Az FKIR 270 WIFI SMART infravörös fűtőtest az ideális megoldás minden igényére.
1000W-os teljesítménye és a magas minőséggel készült burkolata garantálja a tartósságot és a megfelelő fűtési hatékonyságot. A készülék felületi hőmérséklete kb. 90°C. Digitális teszmosztátja 0-37°C-ig állítható, így fagyőrként is használható. 
Nem csupán modern érintőgombokkal ellátott vezérlőfelületen, hanem TUYA applikáció segítségével is bárhonnan irányítható.
Felborulás esetén azonnal kikapcsol és túlmelegedés elleni védelme megbízható működést garantál. 
Az óránként beállítható, maximum 24 órás kikapcsolásidőzítés lehetővé teszi, hogy testre szabja fűtési igényeit.
Válassza az FKIR 270 WIFI SMART fűtőtestet, mert nem csupán tökéletesen illeszkedik otthonának bármelyik sarkába, hanem mert 270°-os infrasugárzási szögben hangtalanul és kiválóan oszlatja el a meleg levegőt!</t>
        </is>
      </c>
    </row>
    <row r="801">
      <c r="A801" s="3" t="inlineStr">
        <is>
          <t>AGH0003S</t>
        </is>
      </c>
      <c r="B801" s="2" t="inlineStr">
        <is>
          <t>AENO Premium Eco Smart fűtőtest</t>
        </is>
      </c>
      <c r="C801" s="1" t="n">
        <v>115990.0</v>
      </c>
      <c r="D801" s="7" t="n">
        <f>HYPERLINK("https://www.somogyi.hu/product/aeno-premium-eco-smart-futotest-agh0003s-18322","https://www.somogyi.hu/product/aeno-premium-eco-smart-futotest-agh0003s-18322")</f>
        <v>0.0</v>
      </c>
      <c r="E801" s="7" t="n">
        <f>HYPERLINK("https://www.somogyi.hu/data/img/product_main_images/small/18322.jpg","https://www.somogyi.hu/data/img/product_main_images/small/18322.jpg")</f>
        <v>0.0</v>
      </c>
      <c r="F801" s="2" t="inlineStr">
        <is>
          <t>5903282319332</t>
        </is>
      </c>
      <c r="G801" s="4" t="inlineStr">
        <is>
          <t xml:space="preserve"> • WIFI: van (2.4 GHz) 
 • szín: fehér (fényes fehér)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802">
      <c r="A802" s="3" t="inlineStr">
        <is>
          <t>FKIR 452</t>
        </is>
      </c>
      <c r="B802" s="2" t="inlineStr">
        <is>
          <t>Home FKIR 452 falra vagy plafonra szerelhető infra elektromos hibrid fűtőtest, 450W, heti program, távirányító, fehér</t>
        </is>
      </c>
      <c r="C802" s="1" t="n">
        <v>79090.0</v>
      </c>
      <c r="D802" s="7" t="n">
        <f>HYPERLINK("https://www.somogyi.hu/product/home-fkir-452-falra-vagy-plafonra-szerelheto-infra-elektromos-hibrid-futotest-450w-heti-program-taviranyito-feher-fkir-452-17762","https://www.somogyi.hu/product/home-fkir-452-falra-vagy-plafonra-szerelheto-infra-elektromos-hibrid-futotest-450w-heti-program-taviranyito-feher-fkir-452-17762")</f>
        <v>0.0</v>
      </c>
      <c r="E802" s="7" t="n">
        <f>HYPERLINK("https://www.somogyi.hu/data/img/product_main_images/small/17762.jpg","https://www.somogyi.hu/data/img/product_main_images/small/17762.jpg")</f>
        <v>0.0</v>
      </c>
      <c r="F802" s="2" t="inlineStr">
        <is>
          <t>5999084957841</t>
        </is>
      </c>
      <c r="G802" s="4" t="inlineStr">
        <is>
          <t>Hogyan tudja otthonában a korszerű fűtési technológiát és a hagyományos hőérzet előnyeit kombinálni? Az FKIR 452 Hibrid fűtőtest pont erre a kérdésre adja meg a tökéletes választ!
Ez a 450W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3,45 kg tömegű és 90,5x50,5x4 cm méretű, így diszkréten, mégis hatékonyan működik. 
Ismerje meg az FKIR 452 Hibrid fűtőtest előnyeit és élvezze a meleget ott, ahol a legnagyobb szüksége van rá!</t>
        </is>
      </c>
    </row>
    <row r="803">
      <c r="A803" s="3" t="inlineStr">
        <is>
          <t>FKIR 962</t>
        </is>
      </c>
      <c r="B803" s="2" t="inlineStr">
        <is>
          <t>Home FKIR 962 falra vagy plafonra szerelhető infra elektromos hibrid fűtőtest, 960W, heti program, távirányító, fehér</t>
        </is>
      </c>
      <c r="C803" s="1" t="n">
        <v>116990.0</v>
      </c>
      <c r="D803" s="7" t="n">
        <f>HYPERLINK("https://www.somogyi.hu/product/home-fkir-962-falra-vagy-plafonra-szerelheto-infra-elektromos-hibrid-futotest-960w-heti-program-taviranyito-feher-fkir-962-17764","https://www.somogyi.hu/product/home-fkir-962-falra-vagy-plafonra-szerelheto-infra-elektromos-hibrid-futotest-960w-heti-program-taviranyito-feher-fkir-962-17764")</f>
        <v>0.0</v>
      </c>
      <c r="E803" s="7" t="n">
        <f>HYPERLINK("https://www.somogyi.hu/data/img/product_main_images/small/17764.jpg","https://www.somogyi.hu/data/img/product_main_images/small/17764.jpg")</f>
        <v>0.0</v>
      </c>
      <c r="F803" s="2" t="inlineStr">
        <is>
          <t>5999084957865</t>
        </is>
      </c>
      <c r="G803" s="4" t="inlineStr">
        <is>
          <t>Hogyan tudja otthonában a korszerű fűtési technológiát és a hagyományos hőérzet előnyeit kombinálni? Az FKIR 962 Hibrid fűtőtest pont erre a kérdésre adja meg a tökéletes választ! 
Ez a 960W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6,6 kg tömegű és 119,5x80,5x4 cm méretű, így diszkréten, mégis hatékonyan működik. 
Ismerje meg az FKIR 962 Hibrid fűtőtest előnyeit és élvezze a meleget ott, ahol a legnagyobb szüksége van rá!</t>
        </is>
      </c>
    </row>
    <row r="804">
      <c r="A804" s="3" t="inlineStr">
        <is>
          <t>FKM 450</t>
        </is>
      </c>
      <c r="B804" s="2" t="inlineStr">
        <is>
          <t>Home FKM 450 elektromos fagyőr fűtőtest, 450W, mechanikus termosztát, IP20 védelem, fehér</t>
        </is>
      </c>
      <c r="C804" s="1" t="n">
        <v>9790.0</v>
      </c>
      <c r="D804" s="7" t="n">
        <f>HYPERLINK("https://www.somogyi.hu/product/home-fkm-450-elektromos-fagyor-futotest-450w-mechanikus-termosztat-ip20-vedelem-feher-fkm-450-15980","https://www.somogyi.hu/product/home-fkm-450-elektromos-fagyor-futotest-450w-mechanikus-termosztat-ip20-vedelem-feher-fkm-450-15980")</f>
        <v>0.0</v>
      </c>
      <c r="E804" s="7" t="n">
        <f>HYPERLINK("https://www.somogyi.hu/data/img/product_main_images/small/15980.jpg","https://www.somogyi.hu/data/img/product_main_images/small/15980.jpg")</f>
        <v>0.0</v>
      </c>
      <c r="F804" s="2" t="inlineStr">
        <is>
          <t>5999084940140</t>
        </is>
      </c>
      <c r="G804" s="4" t="inlineStr">
        <is>
          <t>Egy hatékony fűtőtestet keres, amely fagymentesítésre is kiválóan használható? Önnek ideális választás az FKM 450 fűtőtest!
Kifejezetten alkalmas garázsok, hétvégi házak, kamrák fűtésére, fagykárok megelőzésére (7 m2-ig). A készülék 450W teljesítményű és mechanikus termosztát gondoskodik arról, hogy a hőmérséklet stabil legyen és ne süllyedjen fagypont alá. Fagyőr funkcióban 5 fok alatt bekapcsolja a fűtést. A fűtőtest automatikusan kikapcsol, ha túlmelegedést észlel. 
Az FK 450 szabadon álló, így könnyedén mozgatható, áthelyezhető. 
Ne habozzon tovább, és szerezze be most az FK 450 fűtőtest, fagyőrt!</t>
        </is>
      </c>
    </row>
    <row r="805">
      <c r="A805" s="6" t="inlineStr">
        <is>
          <t xml:space="preserve">   Fűtés, Párátlanítás, Párásítás / Olajradiátor</t>
        </is>
      </c>
      <c r="B805" s="6" t="inlineStr">
        <is>
          <t/>
        </is>
      </c>
      <c r="C805" s="6" t="inlineStr">
        <is>
          <t/>
        </is>
      </c>
      <c r="D805" s="6" t="inlineStr">
        <is>
          <t/>
        </is>
      </c>
      <c r="E805" s="6" t="inlineStr">
        <is>
          <t/>
        </is>
      </c>
      <c r="F805" s="6" t="inlineStr">
        <is>
          <t/>
        </is>
      </c>
      <c r="G805" s="6" t="inlineStr">
        <is>
          <t/>
        </is>
      </c>
    </row>
    <row r="806">
      <c r="A806" s="3" t="inlineStr">
        <is>
          <t>FKOS 7 M</t>
        </is>
      </c>
      <c r="B806" s="2" t="inlineStr">
        <is>
          <t>Home FKOS 7 M elektromos olajradiátor, 600W/900W/1500W, 7 tagú, fehér</t>
        </is>
      </c>
      <c r="C806" s="1" t="n">
        <v>22890.0</v>
      </c>
      <c r="D806" s="7" t="n">
        <f>HYPERLINK("https://www.somogyi.hu/product/home-fkos-7-m-elektromos-olajradiator-600w-900w-1500w-7-tagu-feher-fkos-7-m-16428","https://www.somogyi.hu/product/home-fkos-7-m-elektromos-olajradiator-600w-900w-1500w-7-tagu-feher-fkos-7-m-16428")</f>
        <v>0.0</v>
      </c>
      <c r="E806" s="7" t="n">
        <f>HYPERLINK("https://www.somogyi.hu/data/img/product_main_images/small/16428.jpg","https://www.somogyi.hu/data/img/product_main_images/small/16428.jpg")</f>
        <v>0.0</v>
      </c>
      <c r="F806" s="2" t="inlineStr">
        <is>
          <t>5999084944605</t>
        </is>
      </c>
      <c r="G806" s="4" t="inlineStr">
        <is>
          <t>Tudja, hogyan érjen el stabil meleget az otthonában? Az FKOS 7 M olajradiátorral egyszerűbb, mint valaha! 
Ez a hatékony fűtőtest három különböző fűtési fokozattal rendelkezik (600W, 900W, 1500W), így könnyedén beállíthatja a megfelelő hőmérsékletet. 
A 7-tagú kivitelnek köszönhetően, egyenletesen oszlatja el a meleget a helyiségben. 
A mechanikus termosztát segítségével precízen szabályozhatja a hőmérsékletet, és nem kell aggódnia sem a túlmelegedés sem a felbillenés miatt. 
Az FKOS 7 M olajradiátor darabonkénti nyomáspróbán esett át, így biztos lehet benne, hogy a legmagasabb minőségű termék. A készülék méretei: 12(23)x60x37 cm. 
Ne várjon tovább, szerezze be most az FKOS 7 M olajradiátort, és élvezze a meleget otthonában! </t>
        </is>
      </c>
    </row>
    <row r="807">
      <c r="A807" s="3" t="inlineStr">
        <is>
          <t>FKOS 13 M</t>
        </is>
      </c>
      <c r="B807" s="2" t="inlineStr">
        <is>
          <t>Home FKOS 13 M elektromos olajradiátor, 1000W/1500W/2500W, 13 tagú, fehér</t>
        </is>
      </c>
      <c r="C807" s="1" t="n">
        <v>34290.0</v>
      </c>
      <c r="D807" s="7" t="n">
        <f>HYPERLINK("https://www.somogyi.hu/product/home-fkos-13-m-elektromos-olajradiator-1000w-1500w-2500w-13-tagu-feher-fkos-13-m-16431","https://www.somogyi.hu/product/home-fkos-13-m-elektromos-olajradiator-1000w-1500w-2500w-13-tagu-feher-fkos-13-m-16431")</f>
        <v>0.0</v>
      </c>
      <c r="E807" s="7" t="n">
        <f>HYPERLINK("https://www.somogyi.hu/data/img/product_main_images/small/16431.jpg","https://www.somogyi.hu/data/img/product_main_images/small/16431.jpg")</f>
        <v>0.0</v>
      </c>
      <c r="F807" s="2" t="inlineStr">
        <is>
          <t>5999084944636</t>
        </is>
      </c>
      <c r="G807" s="4" t="inlineStr">
        <is>
          <t>Tudja, hogyan érjen el stabil meleget az otthonában?  Az FKOS 13 M olajradiátorral egyszerűbb, mint valaha! 
Ez a hatékony fűtőtest három különböző fűtési fokozattal rendelkezik (1000W, 1500W, 2500W), így könnyedén beállíthatja a megfelelő hőmérsékletet. 
A 13-tagú kivitelnek köszönhetően, egyenletesen oszlatja el a meleget a helyiségben. 
A mechanikus termosztát segítségével precízen szabályozhatja a hőmérsékletet, és nem kell aggódnia sem a túlmelegedés sem a felbillenés miatt. 
Az FKOS 13 M olajradiátor darabonkénti nyomáspróbán esett át, így biztos lehet benne, hogy a legmagasabb minőségű termék. 
A készülék méretei: 12(23)x60x58cm. 
Ne várjon tovább, szerezze be most az FKOS 13 M olajradiátort, és élvezze a meleg, otthonos környezetet ha beköszöntenek az őszi napok.</t>
        </is>
      </c>
    </row>
    <row r="808">
      <c r="A808" s="3" t="inlineStr">
        <is>
          <t>FKOS 11 M</t>
        </is>
      </c>
      <c r="B808" s="2" t="inlineStr">
        <is>
          <t>Home FKOS 11 M elektromos olajradiátor, 800W/1200W/2000W, 11 tagú, fehér</t>
        </is>
      </c>
      <c r="C808" s="1" t="n">
        <v>30490.0</v>
      </c>
      <c r="D808" s="7" t="n">
        <f>HYPERLINK("https://www.somogyi.hu/product/home-fkos-11-m-elektromos-olajradiator-800w-1200w-2000w-11-tagu-feher-fkos-11-m-16430","https://www.somogyi.hu/product/home-fkos-11-m-elektromos-olajradiator-800w-1200w-2000w-11-tagu-feher-fkos-11-m-16430")</f>
        <v>0.0</v>
      </c>
      <c r="E808" s="7" t="n">
        <f>HYPERLINK("https://www.somogyi.hu/data/img/product_main_images/small/16430.jpg","https://www.somogyi.hu/data/img/product_main_images/small/16430.jpg")</f>
        <v>0.0</v>
      </c>
      <c r="F808" s="2" t="inlineStr">
        <is>
          <t>5999084944629</t>
        </is>
      </c>
      <c r="G808" s="4" t="inlineStr">
        <is>
          <t>Tudja, hogyan érjen el stabil meleget az otthonában? Az FKOS 11 M olajradiátorral egyszerűbb, mint valaha! 
Ez a hatékony fűtőtest három különböző fűtési fokozattal rendelkezik (800W, 1200W, 2000W), így könnyedén beállíthatja a megfelelő hőmérsékletet. 
A 11-tagú kivitelnek köszönhetően, egyenletesen oszlatja el a meleget a helyiségben. 
A mechanikus termosztát segítségével precízen szabályozhatja a hőmérsékletet, és nem kell aggódnia sem a túlmelegedés sem a felbillenés miatt.  
Az FKOS 11 M olajradiátor darabonkénti nyomáspróbán esett át, így biztos lehet benne, hogy a legmagasabb minőségű termék. 
A készülék méretei: 12(23)x60x51 cm. 
Ne várjon tovább, szerezze be most az FKOS 11 M olajradiátort, és élvezze a meleg, otthonos környezetet ha beköszöntenek az őszi napok.</t>
        </is>
      </c>
    </row>
    <row r="809">
      <c r="A809" s="3" t="inlineStr">
        <is>
          <t>FKOS 9 M</t>
        </is>
      </c>
      <c r="B809" s="2" t="inlineStr">
        <is>
          <t>Home FKOS 9 M elektromos olajradiátor, 800W/1200W/2000W, 9 tagú, fehér</t>
        </is>
      </c>
      <c r="C809" s="1" t="n">
        <v>26690.0</v>
      </c>
      <c r="D809" s="7" t="n">
        <f>HYPERLINK("https://www.somogyi.hu/product/home-fkos-9-m-elektromos-olajradiator-800w-1200w-2000w-9-tagu-feher-fkos-9-m-16429","https://www.somogyi.hu/product/home-fkos-9-m-elektromos-olajradiator-800w-1200w-2000w-9-tagu-feher-fkos-9-m-16429")</f>
        <v>0.0</v>
      </c>
      <c r="E809" s="7" t="n">
        <f>HYPERLINK("https://www.somogyi.hu/data/img/product_main_images/small/16429.jpg","https://www.somogyi.hu/data/img/product_main_images/small/16429.jpg")</f>
        <v>0.0</v>
      </c>
      <c r="F809" s="2" t="inlineStr">
        <is>
          <t>5999084944612</t>
        </is>
      </c>
      <c r="G809" s="4" t="inlineStr">
        <is>
          <t>Tudja, hogyan érjen el stabil meleget az otthonában? Az FKOS 9 M olajradiátorral egyszerűbb, mint valaha! 
Ez a hatékony fűtőtest három különböző fűtési fokozattal rendelkezik (800W, 1200W, 2000W), így könnyedén beállíthatja a megfelelő hőmérsékletet.
A 9-tagú kivitelnek köszönhetően, egyenletesen oszlatja el a meleget a helyiségben.
A mechanikus termosztát segítségével precízen szabályozhatja a hőmérsékletet, és nem kell aggódnia sem a túlmelegedés sem a felbillenés miatt.  
Az FKOS 9 M olajradiátor darabonkénti nyomáspróbán esett át, így biztos lehet benne, hogy a legmagasabb minőségű termék.
A készülék méretei: 12(23)x60x44 cm. 
Ne várjon tovább, szerezze be most az FKOS 9 M olajradiátort, és élvezze a meleg, otthonos környezetet ha beköszöntenek az őszi napok!</t>
        </is>
      </c>
    </row>
    <row r="810">
      <c r="A810" s="6" t="inlineStr">
        <is>
          <t xml:space="preserve">   Fűtés, Párátlanítás, Párásítás / Ventilátoros fűtőtest</t>
        </is>
      </c>
      <c r="B810" s="6" t="inlineStr">
        <is>
          <t/>
        </is>
      </c>
      <c r="C810" s="6" t="inlineStr">
        <is>
          <t/>
        </is>
      </c>
      <c r="D810" s="6" t="inlineStr">
        <is>
          <t/>
        </is>
      </c>
      <c r="E810" s="6" t="inlineStr">
        <is>
          <t/>
        </is>
      </c>
      <c r="F810" s="6" t="inlineStr">
        <is>
          <t/>
        </is>
      </c>
      <c r="G810" s="6" t="inlineStr">
        <is>
          <t/>
        </is>
      </c>
    </row>
    <row r="811">
      <c r="A811" s="3" t="inlineStr">
        <is>
          <t>FKI 90</t>
        </is>
      </c>
      <c r="B811" s="2" t="inlineStr">
        <is>
          <t>Ipari, ventilátoros fűtőtest</t>
        </is>
      </c>
      <c r="C811" s="1" t="n">
        <v>77990.0</v>
      </c>
      <c r="D811" s="7" t="n">
        <f>HYPERLINK("https://www.somogyi.hu/product/ipari-ventilatoros-futotest-fki-90-16453","https://www.somogyi.hu/product/ipari-ventilatoros-futotest-fki-90-16453")</f>
        <v>0.0</v>
      </c>
      <c r="E811" s="7" t="n">
        <f>HYPERLINK("https://www.somogyi.hu/data/img/product_main_images/small/16453.jpg","https://www.somogyi.hu/data/img/product_main_images/small/16453.jpg")</f>
        <v>0.0</v>
      </c>
      <c r="F811" s="2" t="inlineStr">
        <is>
          <t>5999084944858</t>
        </is>
      </c>
      <c r="G811" s="4" t="inlineStr">
        <is>
          <t>Az FKI 90 Ipari, ventilátoros fűtőtest használata csarnokokban, műhelyekben vagy raktárakban ajánlott. Két fűtési fokozat közül választhat 4500 W vagy 9000 W. Mechanikus termosztáttal ellátott. 
Az ipari ventilátoros fűtőtest biztonságos használatot garantál, mivel túlmelegedés esetén automatikusan kikapcsol, valamint IPX4- freccsenő víz elleni védelemmel ellátott. A könnyű hordozást a masszív fül teszi lehetővé. 
Tápellátása 400 V! 
A hálózati csatlakozóvezeték nem tartozék.</t>
        </is>
      </c>
    </row>
    <row r="812">
      <c r="A812" s="3" t="inlineStr">
        <is>
          <t>ST-033-240-E</t>
        </is>
      </c>
      <c r="B812" s="2" t="inlineStr">
        <is>
          <t>Stanley ST-033-240-E hordozható elektromos ventilátoros ipari fűtőtest, 1650W/3300W, IPX4 védelem</t>
        </is>
      </c>
      <c r="C812" s="1" t="n">
        <v>41990.0</v>
      </c>
      <c r="D812" s="7" t="n">
        <f>HYPERLINK("https://www.somogyi.hu/product/stanley-st-033-240-e-hordozhato-elektromos-ventilatoros-ipari-futotest-1650w-3300w-ipx4-vedelem-st-033-240-e-17044","https://www.somogyi.hu/product/stanley-st-033-240-e-hordozhato-elektromos-ventilatoros-ipari-futotest-1650w-3300w-ipx4-vedelem-st-033-240-e-17044")</f>
        <v>0.0</v>
      </c>
      <c r="E812" s="7" t="n">
        <f>HYPERLINK("https://www.somogyi.hu/data/img/product_main_images/small/17044.jpg","https://www.somogyi.hu/data/img/product_main_images/small/17044.jpg")</f>
        <v>0.0</v>
      </c>
      <c r="F812" s="2" t="inlineStr">
        <is>
          <t>0657888140337</t>
        </is>
      </c>
      <c r="G812" s="4" t="inlineStr">
        <is>
          <t>Egy megbízható és hatékony ipari fűtőtestet keres a hidegebb napokra? A Stanley ST-033-240-E a tökéletes megoldás erre az igényére! Két fűtési fokozatának (1650W és 3300W)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230V~/50Hz-es tápellátás révén könnyedén csatlakoztatható a legtöbb aljzathoz. A készülék méretei (35 x 37,5 x 45,5 cm) tökéletesek bármilyen ipari jellegű környezetben való elhelyezéshez. Bízzon a Stanley minőségében, és fűtsön ipari fűtőtesttel!</t>
        </is>
      </c>
    </row>
    <row r="813">
      <c r="A813" s="3" t="inlineStr">
        <is>
          <t>ST-05-400-E</t>
        </is>
      </c>
      <c r="B813" s="2" t="inlineStr">
        <is>
          <t>Stanley ST-05-400-E hordozható elektromos ventilátoros ipari fűtőtest, 2500W/5000W, IPX4 védelem</t>
        </is>
      </c>
      <c r="C813" s="1" t="n">
        <v>63690.0</v>
      </c>
      <c r="D813" s="7" t="n">
        <f>HYPERLINK("https://www.somogyi.hu/product/stanley-st-05-400-e-hordozhato-elektromos-ventilatoros-ipari-futotest-2500w-5000w-ipx4-vedelem-st-05-400-e-17045","https://www.somogyi.hu/product/stanley-st-05-400-e-hordozhato-elektromos-ventilatoros-ipari-futotest-2500w-5000w-ipx4-vedelem-st-05-400-e-17045")</f>
        <v>0.0</v>
      </c>
      <c r="E813" s="7" t="n">
        <f>HYPERLINK("https://www.somogyi.hu/data/img/product_main_images/small/17045.jpg","https://www.somogyi.hu/data/img/product_main_images/small/17045.jpg")</f>
        <v>0.0</v>
      </c>
      <c r="F813" s="2" t="inlineStr">
        <is>
          <t>0657888110057</t>
        </is>
      </c>
      <c r="G813" s="4" t="inlineStr">
        <is>
          <t>Egy megbízható és hatékony ipari fűtőtestet keres a hidegebb napokra? A Stanley ST-05-400-E a tökéletes megoldás erre az igényére! Két fűtési fokozatának (2500W és 5000W)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400 V~/50 Hz-es tápellátás biztosítja az ipari működést. A készülék méretei (35 x 37,5 x 45,5 cm) tökéletesek bármilyen ipari jellegű környezetben való elhelyezéshez. Bízzon a Stanley minőségében, és fűtsön ipari fűtőtesttel!</t>
        </is>
      </c>
    </row>
    <row r="814">
      <c r="A814" s="3" t="inlineStr">
        <is>
          <t>FK 1</t>
        </is>
      </c>
      <c r="B814" s="2" t="inlineStr">
        <is>
          <t>Home FK 1 hordozható elektromos ventilátoros fűtőtest, 1000W/2000W, fehér</t>
        </is>
      </c>
      <c r="C814" s="1" t="n">
        <v>6690.0</v>
      </c>
      <c r="D814" s="7" t="n">
        <f>HYPERLINK("https://www.somogyi.hu/product/home-fk-1-hordozhato-elektromos-ventilatoros-futotest-1000w-2000w-feher-fk-1-6431","https://www.somogyi.hu/product/home-fk-1-hordozhato-elektromos-ventilatoros-futotest-1000w-2000w-feher-fk-1-6431")</f>
        <v>0.0</v>
      </c>
      <c r="E814" s="7" t="n">
        <f>HYPERLINK("https://www.somogyi.hu/data/img/product_main_images/small/06431.jpg","https://www.somogyi.hu/data/img/product_main_images/small/06431.jpg")</f>
        <v>0.0</v>
      </c>
      <c r="F814" s="2" t="inlineStr">
        <is>
          <t>5998312754771</t>
        </is>
      </c>
      <c r="G814" s="4" t="inlineStr">
        <is>
          <t>Hűvös van, és gyorsan szeretne kellemes meleget varázsolni otthonába? Az FK 1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(21x26,5x11 cm) könnyedén mozgatható egyik helyről a másikra.
Élvezze a gyors és hatékony fűtést az FK 1 hordozható ventilátoros fűtőtesttel, és tegye otthonát még komfortosabbá a hideg téli napokon!"</t>
        </is>
      </c>
    </row>
    <row r="815">
      <c r="A815" s="3" t="inlineStr">
        <is>
          <t>FKI 50</t>
        </is>
      </c>
      <c r="B815" s="2" t="inlineStr">
        <is>
          <t>Home FKI 50 hordozható elektromos ventilátoros ipari fűtőtest, 2500W/5000W, IPX4 védelem</t>
        </is>
      </c>
      <c r="C815" s="1" t="n">
        <v>48690.0</v>
      </c>
      <c r="D815" s="7" t="n">
        <f>HYPERLINK("https://www.somogyi.hu/product/home-fki-50-hordozhato-elektromos-ventilatoros-ipari-futotest-2500w-5000w-ipx4-vedelem-fki-50-16452","https://www.somogyi.hu/product/home-fki-50-hordozhato-elektromos-ventilatoros-ipari-futotest-2500w-5000w-ipx4-vedelem-fki-50-16452")</f>
        <v>0.0</v>
      </c>
      <c r="E815" s="7" t="n">
        <f>HYPERLINK("https://www.somogyi.hu/data/img/product_main_images/small/16452.jpg","https://www.somogyi.hu/data/img/product_main_images/small/16452.jpg")</f>
        <v>0.0</v>
      </c>
      <c r="F815" s="2" t="inlineStr">
        <is>
          <t>5999084944841</t>
        </is>
      </c>
      <c r="G815" s="4" t="inlineStr">
        <is>
          <t>Az FKI 50 egy olyan ipari fűtőtest, ami nem csak erős, de megbízható is! Tökéletes választás amennyiben műhelyben, raktárban, vagy csarnokban szeretne kellemes hőmérsékletet biztosítani a hideg téli hónapokban. A termék két fűtési fokozattal rendelkezik (2500W vagy 5000W). Nem csupán teljesítményével, de biztonságos kialakításával is kiemelkedik a versenytársai közül. IPX4 védelemmel ellátott, így a fröccsenő víz sem jelent gondot, sőt nedvesebb környezetekben is gond nélkül használható. A túlmelegedés elleni védelem pedig megbízható működést garantál. A FKI 50 tápellátása 400 V~ / 50 Hz, méretei 29x47x33 cm, így válik lehetővé a kényelmes elhelyezése és tárolása. Fontos, hogy a hálózati csatlakozóvezeték nem része a csomagolásnak. Használja az FKI 50 ipari fűtőtestet a hatékony és biztonságos műhely felfűtés érdekében!</t>
        </is>
      </c>
    </row>
    <row r="816">
      <c r="A816" s="3" t="inlineStr">
        <is>
          <t>FK 37/GY</t>
        </is>
      </c>
      <c r="B816" s="2" t="inlineStr">
        <is>
          <t>Home FK 37/GY hordozható elektromos ventilátoros fűtőtest, 1000W/2000W, fehér</t>
        </is>
      </c>
      <c r="C816" s="1" t="n">
        <v>9790.0</v>
      </c>
      <c r="D816" s="7" t="n">
        <f>HYPERLINK("https://www.somogyi.hu/product/home-fk-37-gy-hordozhato-elektromos-ventilatoros-futotest-1000w-2000w-feher-fk-37-gy-14902","https://www.somogyi.hu/product/home-fk-37-gy-hordozhato-elektromos-ventilatoros-futotest-1000w-2000w-feher-fk-37-gy-14902")</f>
        <v>0.0</v>
      </c>
      <c r="E816" s="7" t="n">
        <f>HYPERLINK("https://www.somogyi.hu/data/img/product_main_images/small/14902.jpg","https://www.somogyi.hu/data/img/product_main_images/small/14902.jpg")</f>
        <v>0.0</v>
      </c>
      <c r="F816" s="2" t="inlineStr">
        <is>
          <t>5999084929398</t>
        </is>
      </c>
      <c r="G816" s="4" t="inlineStr">
        <is>
          <t>Egy kompakt, mégis erős fűtőeszközt keres a hideg napokra? Az FK 37/GY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(26x24x13 cm) könnyedén mozgatható egyik helyről a másikra. 
Élvezze a gyors és hatékony fűtést az FK 37/GY hordozható ventilátoros fűtőtesttel, és tegye otthonát még komfortosabbá a hideg téli napokon!</t>
        </is>
      </c>
    </row>
    <row r="817">
      <c r="A817" s="3" t="inlineStr">
        <is>
          <t>FK 1/O</t>
        </is>
      </c>
      <c r="B817" s="2" t="inlineStr">
        <is>
          <t>Home FK 1/O hordozható elektromos ventilátoros fűtőtest, 1000W/2000W, oszcillálás, fehér</t>
        </is>
      </c>
      <c r="C817" s="1" t="n">
        <v>11190.0</v>
      </c>
      <c r="D817" s="7" t="n">
        <f>HYPERLINK("https://www.somogyi.hu/product/home-fk-1-o-hordozhato-elektromos-ventilatoros-futotest-1000w-2000w-oszcillalas-feher-fk-1-o-9805","https://www.somogyi.hu/product/home-fk-1-o-hordozhato-elektromos-ventilatoros-futotest-1000w-2000w-oszcillalas-feher-fk-1-o-9805")</f>
        <v>0.0</v>
      </c>
      <c r="E817" s="7" t="n">
        <f>HYPERLINK("https://www.somogyi.hu/data/img/product_main_images/small/09805.jpg","https://www.somogyi.hu/data/img/product_main_images/small/09805.jpg")</f>
        <v>0.0</v>
      </c>
      <c r="F817" s="2" t="inlineStr">
        <is>
          <t>5998312785317</t>
        </is>
      </c>
      <c r="G817" s="4" t="inlineStr">
        <is>
          <t>Hűvös van, és gyorsan szeretne kellemes meleget varázsolni otthonába? Az FK 1/0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Kapcsolható oszcilláló funkció pedig gondoskodik a meleg levegő egyenletes elosztásáról.
Túlmelegedés esetén azonnal kikapcsol, így a megbízható működés garantált. 
A kompakt méretének köszönhetően (22x30x19 cm) könnyedén mozgatható egyik helyről a másikra. 
Élvezze a gyors és hatékony fűtést az FK 1/0 hordozható ventilátoros fűtőtesttel, és tegye otthonát még komfortosabbá a hideg téli napokon!</t>
        </is>
      </c>
    </row>
    <row r="818">
      <c r="A818" s="6" t="inlineStr">
        <is>
          <t xml:space="preserve">   Fűtés, Párátlanítás, Párásítás / Hamuporszívó</t>
        </is>
      </c>
      <c r="B818" s="6" t="inlineStr">
        <is>
          <t/>
        </is>
      </c>
      <c r="C818" s="6" t="inlineStr">
        <is>
          <t/>
        </is>
      </c>
      <c r="D818" s="6" t="inlineStr">
        <is>
          <t/>
        </is>
      </c>
      <c r="E818" s="6" t="inlineStr">
        <is>
          <t/>
        </is>
      </c>
      <c r="F818" s="6" t="inlineStr">
        <is>
          <t/>
        </is>
      </c>
      <c r="G818" s="6" t="inlineStr">
        <is>
          <t/>
        </is>
      </c>
    </row>
    <row r="819">
      <c r="A819" s="3" t="inlineStr">
        <is>
          <t>FHP 820/S</t>
        </is>
      </c>
      <c r="B819" s="2" t="inlineStr">
        <is>
          <t>Home FHP 820/S mosható szűrő FHP 820 hamuporszívóhoz</t>
        </is>
      </c>
      <c r="C819" s="1" t="n">
        <v>2890.0</v>
      </c>
      <c r="D819" s="7" t="n">
        <f>HYPERLINK("https://www.somogyi.hu/product/home-fhp-820-s-moshato-szuro-fhp-820-hamuporszivohoz-fhp-820-s-15884","https://www.somogyi.hu/product/home-fhp-820-s-moshato-szuro-fhp-820-hamuporszivohoz-fhp-820-s-15884")</f>
        <v>0.0</v>
      </c>
      <c r="E819" s="7" t="n">
        <f>HYPERLINK("https://www.somogyi.hu/data/img/product_main_images/small/15884.jpg","https://www.somogyi.hu/data/img/product_main_images/small/15884.jpg")</f>
        <v>0.0</v>
      </c>
      <c r="F819" s="2" t="inlineStr">
        <is>
          <t>5999084939182</t>
        </is>
      </c>
      <c r="G819" s="4" t="inlineStr">
        <is>
          <t>Az FHP 820/S Mosható szűrő az FHP 820 hamuporszívóhoz vásárolható meg.</t>
        </is>
      </c>
    </row>
    <row r="820">
      <c r="A820" s="3" t="inlineStr">
        <is>
          <t>FHP 820</t>
        </is>
      </c>
      <c r="B820" s="2" t="inlineStr">
        <is>
          <t>Home FHP 820 hamuporszívó, 800W, 20 literes fémtartály, fújó funkció</t>
        </is>
      </c>
      <c r="C820" s="1" t="n">
        <v>22890.0</v>
      </c>
      <c r="D820" s="7" t="n">
        <f>HYPERLINK("https://www.somogyi.hu/product/home-fhp-820-hamuporszivo-800w-20-literes-femtartaly-fujo-funkcio-fhp-820-15883","https://www.somogyi.hu/product/home-fhp-820-hamuporszivo-800w-20-literes-femtartaly-fujo-funkcio-fhp-820-15883")</f>
        <v>0.0</v>
      </c>
      <c r="E820" s="7" t="n">
        <f>HYPERLINK("https://www.somogyi.hu/data/img/product_main_images/small/15883.jpg","https://www.somogyi.hu/data/img/product_main_images/small/15883.jpg")</f>
        <v>0.0</v>
      </c>
      <c r="F820" s="2" t="inlineStr">
        <is>
          <t>5999084939175</t>
        </is>
      </c>
      <c r="G820" s="4" t="inlineStr">
        <is>
          <t>Az FHP 820 Hamuporszívó 800 W teljesítményű. A 20 literes fém tartály kerekekkel ellátott, így könnyen tudja mozgatni. A kandallók, cserépkályhák tisztítását egyszerűsíti meg, mivel a hamut rögtön a tárolóba szívja, nem kell a porolással bajlódnia. A szűrője mosható, vagy cserélhető. A gégecső átmérője 3,3 cm, hossza 100 cm. 
Az FHP 820/G Gégecső és az FHP 820/S Mosható szűrő elhasználódás esetén cserélhető, amely megvásárolható webáruházunkban.</t>
        </is>
      </c>
    </row>
    <row r="821">
      <c r="A821" s="3" t="inlineStr">
        <is>
          <t>FHP 820/G</t>
        </is>
      </c>
      <c r="B821" s="2" t="inlineStr">
        <is>
          <t>Home FHP 820/G fém gégecső FHP 820 hamuporszívóhoz</t>
        </is>
      </c>
      <c r="C821" s="1" t="n">
        <v>1990.0</v>
      </c>
      <c r="D821" s="7" t="n">
        <f>HYPERLINK("https://www.somogyi.hu/product/home-fhp-820-g-fem-gegecso-fhp-820-hamuporszivohoz-fhp-820-g-15888","https://www.somogyi.hu/product/home-fhp-820-g-fem-gegecso-fhp-820-hamuporszivohoz-fhp-820-g-15888")</f>
        <v>0.0</v>
      </c>
      <c r="E821" s="7" t="n">
        <f>HYPERLINK("https://www.somogyi.hu/data/img/product_main_images/small/15888.jpg","https://www.somogyi.hu/data/img/product_main_images/small/15888.jpg")</f>
        <v>0.0</v>
      </c>
      <c r="F821" s="2" t="inlineStr">
        <is>
          <t>5999084939229</t>
        </is>
      </c>
      <c r="G821" s="4" t="inlineStr">
        <is>
          <t>Az FHP 820/G Gégecső átmérője 3,3 cm, hossza 100 cm. 
Az FHP 820 Hamuporszívóhoz vásárolható meg.</t>
        </is>
      </c>
    </row>
    <row r="822">
      <c r="A822" s="6" t="inlineStr">
        <is>
          <t xml:space="preserve">   Fűtés, Párátlanítás, Párásítás / Termosztát, zónamenedzser, kapcsoló, internetes modul</t>
        </is>
      </c>
      <c r="B822" s="6" t="inlineStr">
        <is>
          <t/>
        </is>
      </c>
      <c r="C822" s="6" t="inlineStr">
        <is>
          <t/>
        </is>
      </c>
      <c r="D822" s="6" t="inlineStr">
        <is>
          <t/>
        </is>
      </c>
      <c r="E822" s="6" t="inlineStr">
        <is>
          <t/>
        </is>
      </c>
      <c r="F822" s="6" t="inlineStr">
        <is>
          <t/>
        </is>
      </c>
      <c r="G822" s="6" t="inlineStr">
        <is>
          <t/>
        </is>
      </c>
    </row>
    <row r="823">
      <c r="A823" s="3" t="inlineStr">
        <is>
          <t>T140C110AEU</t>
        </is>
      </c>
      <c r="B823" s="2" t="inlineStr">
        <is>
          <t>Honeywell Home T140C110AEU digitális szobatermosztát T140, 5 - 30 °C, adaptív, szivattyúvédelem funkció, programozható, telefonos vezérlés, automatizált rendszerek</t>
        </is>
      </c>
      <c r="C823" s="1" t="n">
        <v>32190.0</v>
      </c>
      <c r="D823" s="7" t="n">
        <f>HYPERLINK("https://www.somogyi.hu/product/honeywell-home-t140c110aeu-digitalis-szobatermosztat-t140-5-30-c-adaptiv-szivattyuvedelem-funkcio-programozhato-telefonos-vezerles-automatizalt-rendszerek-t140c110aeu-17270","https://www.somogyi.hu/product/honeywell-home-t140c110aeu-digitalis-szobatermosztat-t140-5-30-c-adaptiv-szivattyuvedelem-funkcio-programozhato-telefonos-vezerles-automatizalt-rendszerek-t140c110aeu-17270")</f>
        <v>0.0</v>
      </c>
      <c r="E823" s="7" t="n">
        <f>HYPERLINK("https://www.somogyi.hu/data/img/product_main_images/small/17270.jpg","https://www.somogyi.hu/data/img/product_main_images/small/17270.jpg")</f>
        <v>0.0</v>
      </c>
      <c r="F823" s="2" t="inlineStr">
        <is>
          <t>5059085000295</t>
        </is>
      </c>
      <c r="G823" s="4" t="inlineStr">
        <is>
          <t>Szeretne maximális kontrollt otthona fűtése felett?
Akkor Önnek Honeywell Home RT140C110AEU T140 digitális szobatermosztát a megfelelő választás!
A termék kialakítása egyszerű használatot tesz lehetővé. A készülék 7 napos programozási, valamint napi 4 program rögzítési lehetőséget kínál. Az öntanuló algoritmusnak köszönhetően a készülék tanulja szokásait, így az optimális hőmérséklet mindig garantált.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Az RT140C110AEU 2 vagy 3 vezetékes telepítéshez is alkalmazható. Telefonos vezérlőhöz és otthoni automatizáló rendszerhez is csatlakoztatható.
Az elektromos terhelhetőséget illetően 5 A (240V~ esetén) rezisztív, és 2 A (240V~ esetén) kapacitív terhelést a maximum megengedett. Külső vezérlő bemenete 12 V DC +/- 10%, 2,5 mA. 2 db 1,5 V-os (AA) elemmel működtethető, melyek nem képezik a csomagolás részét. 
Szerezze be még ma és élvezze az okos otthon kényelmét és takarékosságát! Kis beruházással hosszú távú kényelmet és hatékonyságot érhet el!</t>
        </is>
      </c>
    </row>
    <row r="824">
      <c r="A824" s="3" t="inlineStr">
        <is>
          <t>T136C110AEU</t>
        </is>
      </c>
      <c r="B824" s="2" t="inlineStr">
        <is>
          <t>Honeywell Home T136C110AEU digitális szobatermosztát T136, 5 - 28 °C, adaptív, szivattyúvédelem funkció, programozható időpontok, telefonos vezérlés, automatizált rendszerek</t>
        </is>
      </c>
      <c r="C824" s="1" t="n">
        <v>26290.0</v>
      </c>
      <c r="D824" s="7" t="n">
        <f>HYPERLINK("https://www.somogyi.hu/product/honeywell-home-t136c110aeu-digitalis-szobatermosztat-t136-5-28-c-adaptiv-szivattyuvedelem-funkcio-programozhato-idopontok-telefonos-vezerles-automatizalt-rendszerek-t136c110aeu-17269","https://www.somogyi.hu/product/honeywell-home-t136c110aeu-digitalis-szobatermosztat-t136-5-28-c-adaptiv-szivattyuvedelem-funkcio-programozhato-idopontok-telefonos-vezerles-automatizalt-rendszerek-t136c110aeu-17269")</f>
        <v>0.0</v>
      </c>
      <c r="E824" s="7" t="n">
        <f>HYPERLINK("https://www.somogyi.hu/data/img/product_main_images/small/17269.jpg","https://www.somogyi.hu/data/img/product_main_images/small/17269.jpg")</f>
        <v>0.0</v>
      </c>
      <c r="F824" s="2" t="inlineStr">
        <is>
          <t>5059085000271</t>
        </is>
      </c>
      <c r="G824" s="4" t="inlineStr">
        <is>
          <t>Ön is szeretné egyszerűen és hatékonyan szabályozni otthona hőmérsékletét?
A Honeywell Home T136C110AEU T136 digitális szobatermosztát pontosan ezt kínálja!
Az eszköz egyszerű használatának köszönhetően könnyedén beállíthatja az ébredés, a távozás, a hazaérkezés és a lefekvés időpontjait, és hozzájuk rendelheti a kívánt hőmérsékleteket. A készülék hőmérsékleti tartománya 5 és 28 °C között állítható, melyet 0,5°C léptékben végezhet. Az arányos adaptív mód a korábbi ciklusokra támaszkodva meghatározza a következő ciklus hosszát. A szivattyúvédelem-funkció hosszabb élettartamot és biztonságosabb üzemelést eredményez. 
2 vezetékes telepítéshez is alkalmas, telefonos vezérlőhöz, valamint otthoni automatizáló rendszerhez is könnyedén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5 mA-rel. Az eszköz működését 2 db 1,5 V-os (AAA) elem biztosítja, amely nem része a csomagnak. 
Fedezze fel a modern, digitális hőmérsékletszabályozás előnyeit!</t>
        </is>
      </c>
    </row>
    <row r="825">
      <c r="A825" s="3" t="inlineStr">
        <is>
          <t>T3C110AEU</t>
        </is>
      </c>
      <c r="B825" s="2" t="inlineStr">
        <is>
          <t>Honeywell Home T3C110AEU programozható szobatermosztát, LCD, időszámítás váltás, 7 napos programozhatóság, extra funkciók, fagyvédelem</t>
        </is>
      </c>
      <c r="C825" s="1" t="n">
        <v>37890.0</v>
      </c>
      <c r="D825" s="7" t="n">
        <f>HYPERLINK("https://www.somogyi.hu/product/honeywell-home-t3c110aeu-programozhato-szobatermosztat-lcd-idoszamitas-valtas-7-napos-programozhatosag-extra-funkciok-fagyvedelem-t3c110aeu-16792","https://www.somogyi.hu/product/honeywell-home-t3c110aeu-programozhato-szobatermosztat-lcd-idoszamitas-valtas-7-napos-programozhatosag-extra-funkciok-fagyvedelem-t3c110aeu-16792")</f>
        <v>0.0</v>
      </c>
      <c r="E825" s="7" t="n">
        <f>HYPERLINK("https://www.somogyi.hu/data/img/product_main_images/small/16792.jpg","https://www.somogyi.hu/data/img/product_main_images/small/16792.jpg")</f>
        <v>0.0</v>
      </c>
      <c r="F825" s="2" t="inlineStr">
        <is>
          <t>5059085000011</t>
        </is>
      </c>
      <c r="G825" s="4" t="inlineStr">
        <is>
          <t>Egy modern és megbízható megoldást keres otthona hőmérsékletének szabályozásához? 
Önnek akkor a Honeywell Home T3C110AEU programozható szobatermosztát a javaslatunk. 
Ez a termék kifejezetten hagyományos és kombi kazánokhoz, padlófűtéshez, valamint zónahelyekkel való használathoz lett tervezve, így egyetlen eszközzel tudja szabályozni fűtési rendszerét. 7 napos programozhatóságának köszönhetően a hét minden napjára beállítható maximálisan 6 időpont és hőmérséklet. 
Az LCD kijelző háttérvilágításának köszönhetően akár sötétben is könnyen leolvashatóak az információk. 
Az automatikus téli/nyári időszámítás-váltásnak köszönhetően az óraállítások sem okoznak gondot.
A beépített memória segítségével a beprogramozott beállítások nem vesznek el. 
A fagyvédelmi funkció garantálja, hogy otthona vagy nyaralója a hideg téli napokon is biztonságban legyen. 
A termék kompakt méretének (13,6 x 9,6x 2,6cm) köszönhetően tökéletesen illeszkedik bármelyik otthonba. 
Fedezze fel a modern, digitális hőmérsékletszabályozás előnyeit!</t>
        </is>
      </c>
    </row>
    <row r="826">
      <c r="A826" s="3" t="inlineStr">
        <is>
          <t>T6360A1079</t>
        </is>
      </c>
      <c r="B826" s="2" t="inlineStr">
        <is>
          <t>Home T6360A1079 mechanikus szobatermosztát, 10 - 30 °C, gáztöltésű, fűtés/hűtés</t>
        </is>
      </c>
      <c r="C826" s="1" t="n">
        <v>8690.0</v>
      </c>
      <c r="D826" s="7" t="n">
        <f>HYPERLINK("https://www.somogyi.hu/product/home-t6360a1079-mechanikus-szobatermosztat-10-30-c-gaztoltesu-futes-hutes-t6360a1079-13654","https://www.somogyi.hu/product/home-t6360a1079-mechanikus-szobatermosztat-10-30-c-gaztoltesu-futes-hutes-t6360a1079-13654")</f>
        <v>0.0</v>
      </c>
      <c r="E826" s="7" t="n">
        <f>HYPERLINK("https://www.somogyi.hu/data/img/product_main_images/small/13654.jpg","https://www.somogyi.hu/data/img/product_main_images/small/13654.jpg")</f>
        <v>0.0</v>
      </c>
      <c r="F826" s="2" t="inlineStr">
        <is>
          <t>5025121271967</t>
        </is>
      </c>
      <c r="G826" s="4" t="inlineStr">
        <is>
          <t>Egy egyszerűen használható és megbízható termosztátot szeretne, akkor a Honeywell Home T6360A1079 mechanikus szobatermosztát a javaslatunk az Ön számára.
 A készülék hőmérsékleti tartománya 10 és 30 °C között állítható, így könnyedén megtalálhatja az otthonához leginkább megfelelő beállítást. A készülék fix kapcsolású hiszterézissel rendelkezik, mely 1 °C-os eltérést jelent, garantálva ezzel a kívánt hőmérsékletet anélkül, hogy a termosztát folyamatosan kapcsolna. 
Akár fűtéshez, akár hűtéshez kívánja használni, a T6360A1079 minden igényét kielégíti. A 230V~/50Hz-es tápellátás révén az eszköz bármely háztartásba megfelelő.
A termék kompakt méretének (8,3x8,3x4 cm) köszönhetően tökéletesen illeszkedik bármelyik otthonba. 
Fedezze fel a modern, digitális hőmérsékletszabályozás előnyeit!</t>
        </is>
      </c>
    </row>
    <row r="827">
      <c r="A827" s="3" t="inlineStr">
        <is>
          <t>RT520RF</t>
        </is>
      </c>
      <c r="B827" s="2" t="inlineStr">
        <is>
          <t>SALUS RT520RF vezeték nélküli szobatermosztát, Opentherm csatlakozó, kontaktus kimenet, LCD, PIN kód, szerviz figyelmeztető, 5 - 32,5 °C</t>
        </is>
      </c>
      <c r="C827" s="1" t="n">
        <v>51990.0</v>
      </c>
      <c r="D827" s="7" t="n">
        <f>HYPERLINK("https://www.somogyi.hu/product/salus-rt520rf-vezetek-nelkuli-szobatermosztat-opentherm-csatlakozo-kontaktus-kimenet-lcd-pin-kod-szerviz-figyelmezteto-5-32-5-c-rt520rf-17671","https://www.somogyi.hu/product/salus-rt520rf-vezetek-nelkuli-szobatermosztat-opentherm-csatlakozo-kontaktus-kimenet-lcd-pin-kod-szerviz-figyelmezteto-5-32-5-c-rt520rf-17671")</f>
        <v>0.0</v>
      </c>
      <c r="E827" s="7" t="n">
        <f>HYPERLINK("https://www.somogyi.hu/data/img/product_main_images/small/17671.jpg","https://www.somogyi.hu/data/img/product_main_images/small/17671.jpg")</f>
        <v>0.0</v>
      </c>
      <c r="F827" s="2" t="inlineStr">
        <is>
          <t>5060103695867</t>
        </is>
      </c>
      <c r="G827" s="4" t="inlineStr">
        <is>
          <t>Egy modern és megbízható megoldást keres otthona hőmérsékletének szabályozásához? Akkor Önnek a SALUS RT520RF vezeték nélküli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 
A készülék szervizfigyelmeztetője tájékoztatja Önt a karbantartás szükségességéről. A készülék hőmérsékleti tartománya 5 és 33,5 °C között állítható. A 868 MHz-es RF működési frekvencia biztosítja az akadálymentes kommunikációt 30 méter hatótávolságban.
A termosztát kompatibilis többféle Salus vevővel. 2 db 1,5 V-os (AA) elemmel működik, mely a csomagolás részét képezi.
Fedezze fel a kényelmet, amit a SALUS RT520RF vezeték nélküli szobatermosztát nyújthat! Rendelje meg most, és lépjen be az intelligens otthonok világába!</t>
        </is>
      </c>
    </row>
    <row r="828">
      <c r="A828" s="3" t="inlineStr">
        <is>
          <t>DT90A1008</t>
        </is>
      </c>
      <c r="B828" s="2" t="inlineStr">
        <is>
          <t>Home DT90A1008 digitális szobatermosztát, 5 - 35 °C, fűtés/hűtés, üzemváltás, öntanuló, öndiagnózis</t>
        </is>
      </c>
      <c r="C828" s="1" t="n">
        <v>17590.0</v>
      </c>
      <c r="D828" s="7" t="n">
        <f>HYPERLINK("https://www.somogyi.hu/product/home-dt90a1008-digitalis-szobatermosztat-5-35-c-futes-hutes-uzemvaltas-ontanulo-ondiagnozis-dt90a1008-13655","https://www.somogyi.hu/product/home-dt90a1008-digitalis-szobatermosztat-5-35-c-futes-hutes-uzemvaltas-ontanulo-ondiagnozis-dt90a1008-13655")</f>
        <v>0.0</v>
      </c>
      <c r="E828" s="7" t="n">
        <f>HYPERLINK("https://www.somogyi.hu/data/img/product_main_images/small/13655.jpg","https://www.somogyi.hu/data/img/product_main_images/small/13655.jpg")</f>
        <v>0.0</v>
      </c>
      <c r="F828" s="2" t="inlineStr">
        <is>
          <t>5025121386135</t>
        </is>
      </c>
      <c r="G828" s="4" t="inlineStr">
        <is>
          <t>Szüksége van egy eszközre, amely nem csak otthona fűtését, hanem hűtését is gond nélkül kezeli? 
A Honeywell Home DT90A1008 digitális szobatermosztát a tökéletes választás az Ön számára. 
Képes fűtés és hűtés közötti üzemátváltásra, így a változékony időjárási körülmények között is garantált az optimális hőmérséklet. A készülék hőmérsékleti tartománya 5 - 35 °C között állítható, melyet 0,5°C léptékben végezhet. A fejlett öntanuló szabályzás révén a Honeywell Home DT90A1008 folyamatosan alkalmazkodik a környezetéhez. Az érzékelőhiba-öndiagnózis funkciónak köszönhetően, időben észleli, ha bárminemű hiba lépne fel. 
Az eszköz 2 vezetékkel telepíthető. A 8 A rezisztív, valamint a 3 A induktív terhelhetőséggel megfelel a legtöbb otthoni rendszer elvárásainak. 
A termosztátot akár falra, akár kötődobozba is könnyedén felszerelheti. 
Az alacsony elemfeszültség figyelmeztető funkcióval sosem érheti meglepetés.  Az eszköz működését 2 db AA (LR6) alkáli elem biztosítja. 
A termék kompakt méretének (9 x 9 x 2,8 cm) köszönhetően tökéletesen illeszkedik bármelyik otthonba. 
Fedezze fel a modern, digitális hőmérsékletszabályozás előnyeit!</t>
        </is>
      </c>
    </row>
    <row r="829">
      <c r="A829" s="3" t="inlineStr">
        <is>
          <t>RT520</t>
        </is>
      </c>
      <c r="B829" s="2" t="inlineStr">
        <is>
          <t>SALUS RT520 vezetékes szobatermosztát, Opentherm csatlakozó, kontaktus kimenet, LCD, PIN kód, szerviz figyelmeztető, 5 - 32,5 °C</t>
        </is>
      </c>
      <c r="C829" s="1" t="n">
        <v>29790.0</v>
      </c>
      <c r="D829" s="7" t="n">
        <f>HYPERLINK("https://www.somogyi.hu/product/salus-rt520-vezetekes-szobatermosztat-opentherm-csatlakozo-kontaktus-kimenet-lcd-pin-kod-szerviz-figyelmezteto-5-32-5-c-rt520-17672","https://www.somogyi.hu/product/salus-rt520-vezetekes-szobatermosztat-opentherm-csatlakozo-kontaktus-kimenet-lcd-pin-kod-szerviz-figyelmezteto-5-32-5-c-rt520-17672")</f>
        <v>0.0</v>
      </c>
      <c r="E829" s="7" t="n">
        <f>HYPERLINK("https://www.somogyi.hu/data/img/product_main_images/small/17672.jpg","https://www.somogyi.hu/data/img/product_main_images/small/17672.jpg")</f>
        <v>0.0</v>
      </c>
      <c r="F829" s="2" t="inlineStr">
        <is>
          <t>5060103695850</t>
        </is>
      </c>
      <c r="G829" s="4" t="inlineStr">
        <is>
          <t>Egy modern és megbízható megoldást keres otthona hőmérsékletének szabályozásához?
Akkor Önnek a SALUS RT520 vezetékes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is.A készülék szervizfigyelmeztetője tájékoztatja Önt a karbantartás szükségességéről.
A készülék hőmérsékleti tartománya 5 és 33,5 °C között állítható. 2 db 1,5 V-os (AA) elemmel működtethető, mely a csomagolás részét képezi. Az eszköz kompakt méretének (9,5 x 11,8 x 2,6 cm) köszönhetően tökéletesen illeszkedik bármelyik otthonba.
Fedezze fel a kényelmet, amit a SALUS RT520 vezetékes szobatermosztát nyújthat! Rendelje meg most, és lépjen be az intelligens otthonok világába!</t>
        </is>
      </c>
    </row>
    <row r="830">
      <c r="A830" s="3" t="inlineStr">
        <is>
          <t>T135C110AEU</t>
        </is>
      </c>
      <c r="B830" s="2" t="inlineStr">
        <is>
          <t>Honeywell Home T135C110AEU digitális szobatermosztát DT135, 5 - 30 °C, adaptív, szivattyúvédelem funkció, telefonos vezérlés, automatizált rendszer</t>
        </is>
      </c>
      <c r="C830" s="1" t="n">
        <v>20790.0</v>
      </c>
      <c r="D830" s="7" t="n">
        <f>HYPERLINK("https://www.somogyi.hu/product/honeywell-home-t135c110aeu-digitalis-szobatermosztat-dt135-5-30-c-adaptiv-szivattyuvedelem-funkcio-telefonos-vezerles-automatizalt-rendszer-t135c110aeu-17268","https://www.somogyi.hu/product/honeywell-home-t135c110aeu-digitalis-szobatermosztat-dt135-5-30-c-adaptiv-szivattyuvedelem-funkcio-telefonos-vezerles-automatizalt-rendszer-t135c110aeu-17268")</f>
        <v>0.0</v>
      </c>
      <c r="E830" s="7" t="n">
        <f>HYPERLINK("https://www.somogyi.hu/data/img/product_main_images/small/17268.jpg","https://www.somogyi.hu/data/img/product_main_images/small/17268.jpg")</f>
        <v>0.0</v>
      </c>
      <c r="F830" s="2" t="inlineStr">
        <is>
          <t>5059085000257</t>
        </is>
      </c>
      <c r="G830" s="4" t="inlineStr">
        <is>
          <t>Ön is szeretné egyszerűen és hatékonyan szabályozni otthona hőmérsékletét?
A Honeywell Home T135C110AEU DT135 digitális szobatermosztát pontosan ezt kínálja!
Az eszköz egyszerű használatának köszönhetően gyorsan és kényelmesen állíthatja be a kívánt hőfokot. A komfort, a gazdaságos és a szabadságüzemmódok révén minden helyzetre talál ideális megoldást, legyen szó hűvösebb estékről vagy gazdaságos napközbeni hőmérséklet megtartásról.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 modern otthonok elvárásainak megfelelően telefonos vezérlőhöz és otthoni automatizáló rendszerhez is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2,5 mA. 2 db 1,5 V-os (AA) elemmel működtethető, melyek nem képezik a csomagolás részét.
Fedezze fel a modern, digitális hőmérsékletszabályozás előnyeit!</t>
        </is>
      </c>
    </row>
    <row r="831">
      <c r="A831" s="6" t="inlineStr">
        <is>
          <t xml:space="preserve">   Fűtés, Párátlanítás, Párásítás / Párátlanító</t>
        </is>
      </c>
      <c r="B831" s="6" t="inlineStr">
        <is>
          <t/>
        </is>
      </c>
      <c r="C831" s="6" t="inlineStr">
        <is>
          <t/>
        </is>
      </c>
      <c r="D831" s="6" t="inlineStr">
        <is>
          <t/>
        </is>
      </c>
      <c r="E831" s="6" t="inlineStr">
        <is>
          <t/>
        </is>
      </c>
      <c r="F831" s="6" t="inlineStr">
        <is>
          <t/>
        </is>
      </c>
      <c r="G831" s="6" t="inlineStr">
        <is>
          <t/>
        </is>
      </c>
    </row>
    <row r="832">
      <c r="A832" s="3" t="inlineStr">
        <is>
          <t>DHM 300</t>
        </is>
      </c>
      <c r="B832" s="2" t="inlineStr">
        <is>
          <t>Home DHM 300 párátlanító, Peltier rendszerű, párátlanítás max. 300 ml/nap, 0,5 literes víztartály, halk működés</t>
        </is>
      </c>
      <c r="C832" s="1" t="n">
        <v>22890.0</v>
      </c>
      <c r="D832" s="7" t="n">
        <f>HYPERLINK("https://www.somogyi.hu/product/home-dhm-300-paratlanito-peltier-rendszeru-paratlanitas-max-300-ml-nap-0-5-literes-viztartaly-halk-mukodes-dhm-300-16754","https://www.somogyi.hu/product/home-dhm-300-paratlanito-peltier-rendszeru-paratlanitas-max-300-ml-nap-0-5-literes-viztartaly-halk-mukodes-dhm-300-16754")</f>
        <v>0.0</v>
      </c>
      <c r="E832" s="7" t="n">
        <f>HYPERLINK("https://www.somogyi.hu/data/img/product_main_images/small/16754.jpg","https://www.somogyi.hu/data/img/product_main_images/small/16754.jpg")</f>
        <v>0.0</v>
      </c>
      <c r="F832" s="2" t="inlineStr">
        <is>
          <t>5999084947866</t>
        </is>
      </c>
      <c r="G832" s="4" t="inlineStr">
        <is>
          <t>A DHM 300 Párátlanító készülék letisztult kivitelének köszönhetően akár a lakás dísze is lehet. 
Kapacitása 300 ml/nap. A megtelt 0,5 literes víztartály esetén a készülék automatikusan kikapcsol. 
A termék megbízható és praktikus Peltier rendszerű, így nincs benne kompresszor, sem klímagáz. Előnyös tulajdonságainak köszönhetően a készülék súlya könnyű és halkan működik. A párátlanító használatával számos egészségügyi panasz megelőzhető, mivel a megfelelő levegő kiemelten fontos a mindennapokban. 
Az ideális páratartalom elérése érdekében válassza a DHM 300 párátlanítónkat!</t>
        </is>
      </c>
    </row>
    <row r="833">
      <c r="A833" s="3" t="inlineStr">
        <is>
          <t>DHM 710</t>
        </is>
      </c>
      <c r="B833" s="2" t="inlineStr">
        <is>
          <t>Home DHM 710 párátlanító, Peltier rendszerű, párátlanítás max. 700 ml/nap, 1,65 literes víztartály, halk működés</t>
        </is>
      </c>
      <c r="C833" s="1" t="n">
        <v>34290.0</v>
      </c>
      <c r="D833" s="7" t="n">
        <f>HYPERLINK("https://www.somogyi.hu/product/home-dhm-710-paratlanito-peltier-rendszeru-paratlanitas-max-700-ml-nap-1-65-literes-viztartaly-halk-mukodes-dhm-710-17776","https://www.somogyi.hu/product/home-dhm-710-paratlanito-peltier-rendszeru-paratlanitas-max-700-ml-nap-1-65-literes-viztartaly-halk-mukodes-dhm-710-17776")</f>
        <v>0.0</v>
      </c>
      <c r="E833" s="7" t="n">
        <f>HYPERLINK("https://www.somogyi.hu/data/img/product_main_images/small/17776.jpg","https://www.somogyi.hu/data/img/product_main_images/small/17776.jpg")</f>
        <v>0.0</v>
      </c>
      <c r="F833" s="2" t="inlineStr">
        <is>
          <t>5999084957988</t>
        </is>
      </c>
      <c r="G833" s="4" t="inlineStr">
        <is>
          <t>Szabaduljon meg könnyedén a párától!  A DHM 710-as típusú párátlanító ebben könnyedén a segítségére lehet. A termék megbízható és praktikus Peltier rendszerű, így nincs benne kompresszor, sem klímagáz. Mindezeknek az előnyös tulajdonságoknak köszönhetően a készülék súlya könnyű és halkan működik. Zajszintje: 45 db(A).
A megtelt víztartály esetében pedig automatikusan kikapcsol. Válassza a minőségi termékeket és rendeljen webáruházunkból!</t>
        </is>
      </c>
    </row>
    <row r="834">
      <c r="A834" s="3" t="inlineStr">
        <is>
          <t>DHM 10LR</t>
        </is>
      </c>
      <c r="B834" s="2" t="inlineStr">
        <is>
          <t>Home DHM 10LR párátlanító, ajánlott szobaméret max. 20 m2, 10 liter párátlanító kapacitás, R290 töltőgáz, 2,2 literes víztartály, 5 üzemmód</t>
        </is>
      </c>
      <c r="C834" s="1" t="n">
        <v>79290.0</v>
      </c>
      <c r="D834" s="7" t="n">
        <f>HYPERLINK("https://www.somogyi.hu/product/home-dhm-10lr-paratlanito-ajanlott-szobameret-max-20-m2-10-liter-paratlanito-kapacitas-r290-toltogaz-2-2-literes-viztartaly-5-uzemmod-dhm-10lr-17061","https://www.somogyi.hu/product/home-dhm-10lr-paratlanito-ajanlott-szobameret-max-20-m2-10-liter-paratlanito-kapacitas-r290-toltogaz-2-2-literes-viztartaly-5-uzemmod-dhm-10lr-17061")</f>
        <v>0.0</v>
      </c>
      <c r="E834" s="7" t="n">
        <f>HYPERLINK("https://www.somogyi.hu/data/img/product_main_images/small/17061.jpg","https://www.somogyi.hu/data/img/product_main_images/small/17061.jpg")</f>
        <v>0.0</v>
      </c>
      <c r="F834" s="2" t="inlineStr">
        <is>
          <t>5999084950934</t>
        </is>
      </c>
      <c r="G834" s="4" t="inlineStr">
        <is>
          <t>A párátlanító alkalmas arra, hogy a lakás magas páratartalmát megszűntesse, amely főleg a fűtéses téli időszakban fordul elő. Ismertető jegyei, hogy az ablakokon, csempéken csorog a nedvesség, megmutatkozik a lecsapódó pára.
 A szobák sarkában, a szekrények mögött megjelennek a gombatelepek, hőhídak alakulnak ki és dohos szag uralkodik, amelyek egészségkárosító közeget eredményeznek.
 A probléma a készülékkel teljes mértékben kiküszöbölhető, megszüntethető.
A berendezés beszívja a lakásban található nedves levegőt, mely lecsapódik és kifolyik a páramentesítő gép tartályába, amelynek űrtartalma 2.2 liter és jelző fény közli a víztartály telítettségét.
Beállítható a kívánt páratartalom, 5 féle üzemmódból választhatunk, időzítő kapcsolóval ellátott, 10-20 m2 es helyiség páramentesítésére alkalmas s felhasznált töltőgáz környezetbarát.
A formatervezett gyerekzárral készült készülék a lakás szinte minden területén esztétikusan mutat és az otthona állag megőrzését és a család egészségmegőrzését szolgálja.</t>
        </is>
      </c>
    </row>
    <row r="835">
      <c r="A835" s="3" t="inlineStr">
        <is>
          <t>TP SMALL</t>
        </is>
      </c>
      <c r="B835" s="2" t="inlineStr">
        <is>
          <t>Honeywell TP SMALL párátlanító, 270 W, 24 liter párátlanító kapacitás, R290 töltőgáz, 3,3 literes víztartály, digitális kezelőpanel</t>
        </is>
      </c>
      <c r="C835" s="1" t="n">
        <v>134990.0</v>
      </c>
      <c r="D835" s="7" t="n">
        <f>HYPERLINK("https://www.somogyi.hu/product/honeywell-tp-small-paratlanito-270-w-24-liter-paratlanito-kapacitas-r290-toltogaz-3-3-literes-viztartaly-digitalis-kezelopanel-tp-small-16879","https://www.somogyi.hu/product/honeywell-tp-small-paratlanito-270-w-24-liter-paratlanito-kapacitas-r290-toltogaz-3-3-literes-viztartaly-digitalis-kezelopanel-tp-small-16879")</f>
        <v>0.0</v>
      </c>
      <c r="E835" s="7" t="n">
        <f>HYPERLINK("https://www.somogyi.hu/data/img/product_main_images/small/16879.jpg","https://www.somogyi.hu/data/img/product_main_images/small/16879.jpg")</f>
        <v>0.0</v>
      </c>
      <c r="F835" s="2" t="inlineStr">
        <is>
          <t>4895007939882</t>
        </is>
      </c>
      <c r="G835" s="4" t="inlineStr">
        <is>
          <t>A TP SMALL Honeywell párátlanító 270 W nagy teljesítményének köszönhetően könnyedén tisztítja meg a levegőt a párától. A falak penészedését meggátolja, mivel ideális páratartalom lesz a lakásban. Kapacitása 24 liter naponta. A kivehető víztartálya 3,3 literes, így ritkán kell ürítenie. Amennyiben az ürítéssel nem akar bajlódni, úgy folyamatos vízelvezetési lehetősége van az 1 m hosszú cső segítségével. 
A párátlanító digitális kezelőpanelén egyszerűen beállítható a páratartalom 30-90%-ig, vagy a 24 órás időzítő. 
Környezetbarát R 290 töltőgázzal. 
Figyelem! Tűzveszélyes! A készüléket beüzemelni, használni, tárolni legalább 13 m2 alapterületű helyiségben szabad!</t>
        </is>
      </c>
    </row>
    <row r="836">
      <c r="A836" s="6" t="inlineStr">
        <is>
          <t xml:space="preserve">   Fűtés, Párátlanítás, Párásítás / Párásító</t>
        </is>
      </c>
      <c r="B836" s="6" t="inlineStr">
        <is>
          <t/>
        </is>
      </c>
      <c r="C836" s="6" t="inlineStr">
        <is>
          <t/>
        </is>
      </c>
      <c r="D836" s="6" t="inlineStr">
        <is>
          <t/>
        </is>
      </c>
      <c r="E836" s="6" t="inlineStr">
        <is>
          <t/>
        </is>
      </c>
      <c r="F836" s="6" t="inlineStr">
        <is>
          <t/>
        </is>
      </c>
      <c r="G836" s="6" t="inlineStr">
        <is>
          <t/>
        </is>
      </c>
    </row>
    <row r="837">
      <c r="A837" s="3" t="inlineStr">
        <is>
          <t>AD 500</t>
        </is>
      </c>
      <c r="B837" s="2" t="inlineStr">
        <is>
          <t xml:space="preserve">Home AD 500 aromadiffúzor, ultrahangos hidegpárásító, 500 ml kapacitás, önállóan is használható világítás, melegfehér fény, tartozék hálózati adapter </t>
        </is>
      </c>
      <c r="C837" s="1" t="n">
        <v>23990.0</v>
      </c>
      <c r="D837" s="7" t="n">
        <f>HYPERLINK("https://www.somogyi.hu/product/home-ad-500-aromadiffuzor-ultrahangos-hidegparasito-500-ml-kapacitas-onalloan-is-hasznalhato-vilagitas-melegfeher-feny-tartozek-halozati-adapter-ad-500-17568","https://www.somogyi.hu/product/home-ad-500-aromadiffuzor-ultrahangos-hidegparasito-500-ml-kapacitas-onalloan-is-hasznalhato-vilagitas-melegfeher-feny-tartozek-halozati-adapter-ad-500-17568")</f>
        <v>0.0</v>
      </c>
      <c r="E837" s="7" t="n">
        <f>HYPERLINK("https://www.somogyi.hu/data/img/product_main_images/small/17568.jpg","https://www.somogyi.hu/data/img/product_main_images/small/17568.jpg")</f>
        <v>0.0</v>
      </c>
      <c r="F837" s="2" t="inlineStr">
        <is>
          <t>5999084955908</t>
        </is>
      </c>
      <c r="G837" s="4" t="inlineStr">
        <is>
          <t>Az AD 500 Aroma diffúzor esztétikus porcelán és fa kivitelével, valamint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az 500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500 aroma diffúzorral.</t>
        </is>
      </c>
    </row>
    <row r="838">
      <c r="A838" s="3" t="inlineStr">
        <is>
          <t>AD 15 P</t>
        </is>
      </c>
      <c r="B838" s="2" t="inlineStr">
        <is>
          <t>Home AD 15 P aroma diffúzor, porlasztó, aromaolajjal működő, 2 intenzitás, érintőgomb, hangulatfény, tartozék hálózati adapter</t>
        </is>
      </c>
      <c r="C838" s="1" t="n">
        <v>15890.0</v>
      </c>
      <c r="D838" s="7" t="n">
        <f>HYPERLINK("https://www.somogyi.hu/product/home-ad-15-p-aroma-diffuzor-porlaszto-aromaolajjal-mukodo-2-intenzitas-erintogomb-hangulatfeny-tartozek-halozati-adapter-ad-15-p-17567","https://www.somogyi.hu/product/home-ad-15-p-aroma-diffuzor-porlaszto-aromaolajjal-mukodo-2-intenzitas-erintogomb-hangulatfeny-tartozek-halozati-adapter-ad-15-p-17567")</f>
        <v>0.0</v>
      </c>
      <c r="E838" s="7" t="n">
        <f>HYPERLINK("https://www.somogyi.hu/data/img/product_main_images/small/17567.jpg","https://www.somogyi.hu/data/img/product_main_images/small/17567.jpg")</f>
        <v>0.0</v>
      </c>
      <c r="F838" s="2" t="inlineStr">
        <is>
          <t>5999084955892</t>
        </is>
      </c>
      <c r="G838" s="4" t="inlineStr">
        <is>
          <t xml:space="preserve"> • működés: mechanikus 
 • funkciók: víz nélkül, tisztán aromaolajjal működő porlasztó, színváltó (kikapcsolható) hangulatfénnyel 
 • jellemzők: két választható intenzitás • szakaszos működés (2 perc be/ 2 perc ki) • érintőgomb • 2 órás működési időkorlát 
 • anyaga: üveg palack és fúvóka 
 • egyéb: már 10-15 csepp aromaolajjal is működik • max. 50 ml aromaolaj tölthető a készülékbe 
 • méret: ∅11,5 x 21 cm 
 • tápellátás: tartozék beltéri hálózati adapter</t>
        </is>
      </c>
    </row>
    <row r="839">
      <c r="A839" s="3" t="inlineStr">
        <is>
          <t>AD 200</t>
        </is>
      </c>
      <c r="B839" s="2" t="inlineStr">
        <is>
          <t xml:space="preserve">Home AD 200 aromadiffúzor, ultrahangos hidegpárásító, bambusz alapzat és fedél, 200 ml kapacitás, folyamatos színváltás,  tartozék hálózati adapter </t>
        </is>
      </c>
      <c r="C839" s="1" t="n">
        <v>13790.0</v>
      </c>
      <c r="D839" s="7" t="n">
        <f>HYPERLINK("https://www.somogyi.hu/product/home-ad-200-aromadiffuzor-ultrahangos-hidegparasito-bambusz-alapzat-es-fedel-200-ml-kapacitas-folyamatos-szinvaltas-tartozek-halozati-adapter-ad-200-17565","https://www.somogyi.hu/product/home-ad-200-aromadiffuzor-ultrahangos-hidegparasito-bambusz-alapzat-es-fedel-200-ml-kapacitas-folyamatos-szinvaltas-tartozek-halozati-adapter-ad-200-17565")</f>
        <v>0.0</v>
      </c>
      <c r="E839" s="7" t="n">
        <f>HYPERLINK("https://www.somogyi.hu/data/img/product_main_images/small/17565.jpg","https://www.somogyi.hu/data/img/product_main_images/small/17565.jpg")</f>
        <v>0.0</v>
      </c>
      <c r="F839" s="2" t="inlineStr">
        <is>
          <t>5999084955878</t>
        </is>
      </c>
      <c r="G839" s="4" t="inlineStr">
        <is>
          <t>Az AD 200 Aroma diffúzor esztétikus bambusz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200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200 aroma diffúzorral.</t>
        </is>
      </c>
    </row>
    <row r="840">
      <c r="A840" s="3" t="inlineStr">
        <is>
          <t>AD 400 WIFI</t>
        </is>
      </c>
      <c r="B840" s="2" t="inlineStr">
        <is>
          <t xml:space="preserve">Home AD 400 WIFI aromadiffúzor, Bluetooth hangszóró, Tuya Smart kompatibilis, 400 ml kapacitás, önállóan is használható világítás, tartozék hálózati adapter </t>
        </is>
      </c>
      <c r="C840" s="1" t="n">
        <v>17690.0</v>
      </c>
      <c r="D840" s="7" t="n">
        <f>HYPERLINK("https://www.somogyi.hu/product/home-ad-400-wifi-aromadiffuzor-bluetooth-hangszoro-tuya-smart-kompatibilis-400-ml-kapacitas-onalloan-is-hasznalhato-vilagitas-tartozek-halozati-adapter-ad-400-wifi-17564","https://www.somogyi.hu/product/home-ad-400-wifi-aromadiffuzor-bluetooth-hangszoro-tuya-smart-kompatibilis-400-ml-kapacitas-onalloan-is-hasznalhato-vilagitas-tartozek-halozati-adapter-ad-400-wifi-17564")</f>
        <v>0.0</v>
      </c>
      <c r="E840" s="7" t="n">
        <f>HYPERLINK("https://www.somogyi.hu/data/img/product_main_images/small/17564.jpg","https://www.somogyi.hu/data/img/product_main_images/small/17564.jpg")</f>
        <v>0.0</v>
      </c>
      <c r="F840" s="2" t="inlineStr">
        <is>
          <t>5999084955861</t>
        </is>
      </c>
      <c r="G840" s="4" t="inlineStr">
        <is>
          <t>Az AD 400 WIFI-s Aroma diffúzor esztétikus fa kivitelével, valamint hangulatfényével a lakás dísze lesz, de akár irodákban, edzőtermekben vagy masszázs stúdiókban is tökéletes lehet. 
A WIFI-s aroma diffúzor egyedülálló tulajdonságai, hogy vezeték nélküli BT hangszóróval ellátott és a Tuya Smart applikáció segítségével vezérelhető. 
Ultrahangos hidegpárásítónak és éjszakai fénynek is kiváló. A világítás színeit hangulatától függően kiválaszthatja, de akár folyamatos színváltás is állítható rajta. 
Ha a 400 ml-es víztartály kiürül, a készülék kikapcsol. Párásítási kapacitása 60- 140 ml/h, melyet folyamatosan vagy szakaszosan működtethet.  
Tartozékként szállítjuk a beltéri hálózati adaptert. 
Csepegtessen 100% tisztaságú illóolajat a készülékbe és relaxáljon az AD 400 WIFI aroma diffúzorral.</t>
        </is>
      </c>
    </row>
    <row r="841">
      <c r="A841" s="3" t="inlineStr">
        <is>
          <t>AD 280</t>
        </is>
      </c>
      <c r="B841" s="2" t="inlineStr">
        <is>
          <t xml:space="preserve">Home AD 280 aromadiffúzor, ultrahangos hidegpárásító, 280 ml kapacitás, melegfehér világítás, folyamatos vagy szakaszos párásítás, tartozék hálózati adapter </t>
        </is>
      </c>
      <c r="C841" s="1" t="n">
        <v>20290.0</v>
      </c>
      <c r="D841" s="7" t="n">
        <f>HYPERLINK("https://www.somogyi.hu/product/home-ad-280-aromadiffuzor-ultrahangos-hidegparasito-280-ml-kapacitas-melegfeher-vilagitas-folyamatos-vagy-szakaszos-parasitas-tartozek-halozati-adapter-ad-280-17569","https://www.somogyi.hu/product/home-ad-280-aromadiffuzor-ultrahangos-hidegparasito-280-ml-kapacitas-melegfeher-vilagitas-folyamatos-vagy-szakaszos-parasitas-tartozek-halozati-adapter-ad-280-17569")</f>
        <v>0.0</v>
      </c>
      <c r="E841" s="7" t="n">
        <f>HYPERLINK("https://www.somogyi.hu/data/img/product_main_images/small/17569.jpg","https://www.somogyi.hu/data/img/product_main_images/small/17569.jpg")</f>
        <v>0.0</v>
      </c>
      <c r="F841" s="2" t="inlineStr">
        <is>
          <t>5999084955915</t>
        </is>
      </c>
      <c r="G841" s="4" t="inlineStr">
        <is>
          <t>Az AD 280 Aroma diffúzor esztétikus porcelán és fa kivitelével, valamint hangulatfényével a lakás dísze lesz, de akár irodákban, edzőtermekben vagy masszázs stúdiókban is tökéletes lehet. 
Ultrahangos hidegpárásítónak és éjszakai fénynek is kiváló. Két fokozatú fényerő és egy lágyan pulzáló fényerőt választhat ki hangulatának megfelelően. Számos funkció közül választhat, mint például az elalvást segítő folyamatos elhalványulás és a folyamatos vagy szakaszos párásítás.
Ha a 280 ml-es víztartály kiürül, a készülék kikapcsol. Párásítási kapacitása 15- 20 ml/h. A kikapcsolás időzítés 1, 3, vagy 8 órás lehet.
Tartozékként szállítjuk a beltéri hálózati adaptert. 
Csepegtessen 100% tisztaságú illóolajat a készülékbe és relaxáljon az AD 280 aroma diffúzorral.</t>
        </is>
      </c>
    </row>
    <row r="842">
      <c r="A842" s="3" t="inlineStr">
        <is>
          <t>AD 300</t>
        </is>
      </c>
      <c r="B842" s="2" t="inlineStr">
        <is>
          <t xml:space="preserve">Home AD 300 aromadiffúzor, ultrahangos hidegpárásító, 300 ml kapacitás, színes hangulatfény, önállóan is használható világítás, tartozék hálózati adapter </t>
        </is>
      </c>
      <c r="C842" s="1" t="n">
        <v>12990.0</v>
      </c>
      <c r="D842" s="7" t="n">
        <f>HYPERLINK("https://www.somogyi.hu/product/home-ad-300-aromadiffuzor-ultrahangos-hidegparasito-300-ml-kapacitas-szines-hangulatfeny-onalloan-is-hasznalhato-vilagitas-tartozek-halozati-adapter-ad-300-17566","https://www.somogyi.hu/product/home-ad-300-aromadiffuzor-ultrahangos-hidegparasito-300-ml-kapacitas-szines-hangulatfeny-onalloan-is-hasznalhato-vilagitas-tartozek-halozati-adapter-ad-300-17566")</f>
        <v>0.0</v>
      </c>
      <c r="E842" s="7" t="n">
        <f>HYPERLINK("https://www.somogyi.hu/data/img/product_main_images/small/17566.jpg","https://www.somogyi.hu/data/img/product_main_images/small/17566.jpg")</f>
        <v>0.0</v>
      </c>
      <c r="F842" s="2" t="inlineStr">
        <is>
          <t>5999084955885</t>
        </is>
      </c>
      <c r="G842" s="4" t="inlineStr">
        <is>
          <t>Az AD 300 Aroma diffúzor esztétikus fa hatású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300 ml-es víztartály kiürül, a készülék kikapcsol. Párásítási kapacitása 20- 30 ml/h, melyet folyamatosan vagy szakaszosan működtethet.  
Tartozékként szállítjuk a beltéri hálózati adaptert és a mérőpoharat. 
Csepegtessen 100% tisztaságú illóolajat a készülékbe és relaxáljon az AD 300 aroma diffúzorral.</t>
        </is>
      </c>
    </row>
    <row r="843">
      <c r="A843" s="3" t="inlineStr">
        <is>
          <t>AD 200F</t>
        </is>
      </c>
      <c r="B843" s="2" t="inlineStr">
        <is>
          <t>Home AD 200F aromadiffúzor lángeffekttel, ultrahangos hidegpárásító, 200 ml kapacitás, tartozék hálózati adapter</t>
        </is>
      </c>
      <c r="C843" s="1" t="n">
        <v>17690.0</v>
      </c>
      <c r="D843" s="7" t="n">
        <f>HYPERLINK("https://www.somogyi.hu/product/home-ad-200f-aromadiffuzor-langeffekttel-ultrahangos-hidegparasito-200-ml-kapacitas-tartozek-halozati-adapter-ad-200f-17847","https://www.somogyi.hu/product/home-ad-200f-aromadiffuzor-langeffekttel-ultrahangos-hidegparasito-200-ml-kapacitas-tartozek-halozati-adapter-ad-200f-17847")</f>
        <v>0.0</v>
      </c>
      <c r="E843" s="7" t="n">
        <f>HYPERLINK("https://www.somogyi.hu/data/img/product_main_images/small/17847.jpg","https://www.somogyi.hu/data/img/product_main_images/small/17847.jpg")</f>
        <v>0.0</v>
      </c>
      <c r="F843" s="2" t="inlineStr">
        <is>
          <t>5999084958695</t>
        </is>
      </c>
      <c r="G843" s="4" t="inlineStr">
        <is>
          <t>Multifunkciós eszközt keres, amely nemcsak a levegő minőségét javítja, hanem otthona hangulatát is fokozza? A Home AD200F Aromadiffúzor a tökéletes választás, ha egy elegáns és praktikus kiegészítőt keres otthonába.
Ez az ultrahangos hidegpárásító egyben aromadiffúzor is, amely kellemes illóolajokat terjeszt a levegőben, miközben javítja a légtér minőségét. A különleges melegfehér lángeffekt és hangulatfény kellemes atmoszférát teremt, így tökéletes választás a pihentető vagy romantikus estékhez. A diffúzor víztartályának kapacitása 200 ml, ami elegendő hosszú órákon át tartó használathoz. Két különböző fényerő és pulzáló fény közül választhat, hogy az aktuális hangulatnak megfelelően alakítsa a környezetet.
Az önálló párásítási funkció lehetővé teszi, hogy csak a levegő nedvességtartalmát növelje, anélkül, hogy illóolajokat használna. Biztonsági funkcióként a készülék automatikusan kikapcsol, amikor a víz elfogy, így nem kell aggódnia a túlmelegedés vagy egyéb problémák miatt. A tartozék hálózati adapterrel könnyedén csatlakoztathatja a diffúzort az elektromos hálózatra. Mérete (20 x 13 x 8 cm) ideális, nem foglal sok helyet, és könnyen elfér az asztalon, polcon vagy éjjeliszekrényen.
Válassza a Home AD200F Aromadiffúzort, és élvezze a friss, illatos levegőt, miközben kellemes hangulatvilágítás tölti be otthonát. Rendelje meg most, és tegye különlegessé otthonának légkörét ezzel az elegáns és multifunkciós készülékkel!</t>
        </is>
      </c>
    </row>
    <row r="844">
      <c r="A844" s="3" t="inlineStr">
        <is>
          <t>UHP 4000B</t>
        </is>
      </c>
      <c r="B844" s="2" t="inlineStr">
        <is>
          <t xml:space="preserve">Home UHP 4000B ultrahangos hidegpárásító, 30 W, víztartály kapacitása 4 liter, 3 fokozat, ajánlott szobaméret max. 40 m2, </t>
        </is>
      </c>
      <c r="C844" s="1" t="n">
        <v>22090.0</v>
      </c>
      <c r="D844" s="7" t="n">
        <f>HYPERLINK("https://www.somogyi.hu/product/home-uhp-4000b-ultrahangos-hidegparasito-30-w-viztartaly-kapacitasa-4-liter-3-fokozat-ajanlott-szobameret-max-40-m2-uhp-4000b-17912","https://www.somogyi.hu/product/home-uhp-4000b-ultrahangos-hidegparasito-30-w-viztartaly-kapacitasa-4-liter-3-fokozat-ajanlott-szobameret-max-40-m2-uhp-4000b-17912")</f>
        <v>0.0</v>
      </c>
      <c r="E844" s="7" t="n">
        <f>HYPERLINK("https://www.somogyi.hu/data/img/product_main_images/small/17912.jpg","https://www.somogyi.hu/data/img/product_main_images/small/17912.jpg")</f>
        <v>0.0</v>
      </c>
      <c r="F844" s="2" t="inlineStr">
        <is>
          <t>5999084959340</t>
        </is>
      </c>
      <c r="G844" s="4" t="inlineStr">
        <is>
          <t>Az UHP 4000B Ultrahangos hidegpárásító készülék letisztult kivitelének köszönhetően akár a lakás dísze is lehet. 
A víztartály kapacitása 4 liter, amennyiben ez kiürül, a készülék kikapcsol. Párásítási teljesítménye 250 ml óránként, így maximum 40 m2 nagyságú szobába ajánlott. Az érintőpanel segítségével 3 fokozatban állítható a párásítás, valamint a visszajelző fény.
Az ideális páratartalom elérése érdekében válassza az UHP 4000B Ultrahangos hidegpárásító készülékünket!</t>
        </is>
      </c>
    </row>
    <row r="845">
      <c r="A845" s="6" t="inlineStr">
        <is>
          <t xml:space="preserve">   Szén-monoxid- és füstérzékelők / Szén-monoxid-érzékelő</t>
        </is>
      </c>
      <c r="B845" s="6" t="inlineStr">
        <is>
          <t/>
        </is>
      </c>
      <c r="C845" s="6" t="inlineStr">
        <is>
          <t/>
        </is>
      </c>
      <c r="D845" s="6" t="inlineStr">
        <is>
          <t/>
        </is>
      </c>
      <c r="E845" s="6" t="inlineStr">
        <is>
          <t/>
        </is>
      </c>
      <c r="F845" s="6" t="inlineStr">
        <is>
          <t/>
        </is>
      </c>
      <c r="G845" s="6" t="inlineStr">
        <is>
          <t/>
        </is>
      </c>
    </row>
    <row r="846">
      <c r="A846" s="3" t="inlineStr">
        <is>
          <t>FA3820-HUR</t>
        </is>
      </c>
      <c r="B846" s="2" t="inlineStr">
        <is>
          <t>FireAngel FA3820-HUR szén-monoxid vészjelző, beépített, nem cserélhető lítium elem, 10 év várható üzemidő, fehér</t>
        </is>
      </c>
      <c r="C846" s="1" t="n">
        <v>16390.0</v>
      </c>
      <c r="D846" s="7" t="n">
        <f>HYPERLINK("https://www.somogyi.hu/product/fireangel-fa3820-hur-szen-monoxid-veszjelzo-beepitett-nem-cserelheto-litium-elem-10-ev-varhato-uzemido-feher-fa3820-hur-17859","https://www.somogyi.hu/product/fireangel-fa3820-hur-szen-monoxid-veszjelzo-beepitett-nem-cserelheto-litium-elem-10-ev-varhato-uzemido-feher-fa3820-hur-17859")</f>
        <v>0.0</v>
      </c>
      <c r="E846" s="7" t="n">
        <f>HYPERLINK("https://www.somogyi.hu/data/img/product_main_images/small/17859.jpg","https://www.somogyi.hu/data/img/product_main_images/small/17859.jpg")</f>
        <v>0.0</v>
      </c>
      <c r="F846" s="2" t="inlineStr">
        <is>
          <t>0816317006525</t>
        </is>
      </c>
      <c r="G846" s="4" t="inlineStr">
        <is>
          <t>Használjon otthonában FireAngel FA3820-HUR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7">
      <c r="A847" s="3" t="inlineStr">
        <is>
          <t>FA3328-INT</t>
        </is>
      </c>
      <c r="B847" s="2" t="inlineStr">
        <is>
          <t>FireAngel FA3328-INT szén-monoxid vészjelző, beépített, nem cserélhető lítium elem, 10 év várható üzemidő, NFC kapcsolat és diagnosztika, fehér</t>
        </is>
      </c>
      <c r="C847" s="1" t="n">
        <v>21690.0</v>
      </c>
      <c r="D847" s="7" t="n">
        <f>HYPERLINK("https://www.somogyi.hu/product/fireangel-fa3328-int-szen-monoxid-veszjelzo-beepitett-nem-cserelheto-litium-elem-10-ev-varhato-uzemido-nfc-kapcsolat-es-diagnosztika-feher-fa3328-int-17863","https://www.somogyi.hu/product/fireangel-fa3328-int-szen-monoxid-veszjelzo-beepitett-nem-cserelheto-litium-elem-10-ev-varhato-uzemido-nfc-kapcsolat-es-diagnosztika-feher-fa3328-int-17863")</f>
        <v>0.0</v>
      </c>
      <c r="E847" s="7" t="n">
        <f>HYPERLINK("https://www.somogyi.hu/data/img/product_main_images/small/17863.jpg","https://www.somogyi.hu/data/img/product_main_images/small/17863.jpg")</f>
        <v>0.0</v>
      </c>
      <c r="F847" s="2" t="inlineStr">
        <is>
          <t>0816317006013</t>
        </is>
      </c>
      <c r="G847" s="4" t="inlineStr">
        <is>
          <t>Szeretne maximális biztonságban élni és megóvni szeretteit a szén-monoxid mérgezés veszélyeitől? Használjon otthonában FireAngel FA3328-INT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élettartam vége kijelzéssel és NFC kapcsolattal működő ingyenes okostelefonos alkalmazással és diagnosztikával.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8">
      <c r="A848" s="3" t="inlineStr">
        <is>
          <t>FA SP 1</t>
        </is>
      </c>
      <c r="B848" s="2" t="inlineStr">
        <is>
          <t>Fireangel Safety pack 1 - gazdaságos CO, füst és hőérzékelő vészjelző csomag</t>
        </is>
      </c>
      <c r="C848" s="1" t="n">
        <v>56990.0</v>
      </c>
      <c r="D848" s="7" t="n">
        <f>HYPERLINK("https://www.somogyi.hu/product/fireangel-safety-pack-1-gazdasagos-co-fust-es-hoerzekelo-veszjelzo-csomag-fa-sp-1-18247","https://www.somogyi.hu/product/fireangel-safety-pack-1-gazdasagos-co-fust-es-hoerzekelo-veszjelzo-csomag-fa-sp-1-18247")</f>
        <v>0.0</v>
      </c>
      <c r="E848" s="7" t="n">
        <f>HYPERLINK("https://www.somogyi.hu/data/img/product_main_images/small/18247.jpg","https://www.somogyi.hu/data/img/product_main_images/small/18247.jpg")</f>
        <v>0.0</v>
      </c>
      <c r="F848" s="2" t="inlineStr">
        <is>
          <t>5999084962692</t>
        </is>
      </c>
      <c r="G848" s="4" t="inlineStr">
        <is>
          <t>Ismerkedjen meg a FireAngel Safety Pack 1-el,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3 db FA6120-INT FireAngel füstjelző
    1 db FA6111-INT FireAngel füstjelző
    1 db FA6215-INT FireAngel hőérzékelő
A csomagban megtalálható összesen 6 db vészjelző segítségével könnyedén és gyorsan építhet kihelyi szén monoxid mérgezések és tűzesetek elleni védelmet otthonában. A csomag ideális például az alábbi típuslakáshoz: amerikai konyhás nappalihoz, ahol gáztűzhely található, valamint 3 hálószobához és folyosóhoz.
Tegyen Ön is családja és otthona biztonságáért! Válassza a FireAngel Safety Pack 1 csomagot, és biztosítsa be lakását hatékony tűz- és szén-monoxid mérgezés elleni védelemmel.</t>
        </is>
      </c>
    </row>
    <row r="849">
      <c r="A849" s="3" t="inlineStr">
        <is>
          <t>FA SP 2</t>
        </is>
      </c>
      <c r="B849" s="2" t="inlineStr">
        <is>
          <t>Fireangel Safety pack 2 - gazdaságos CO, füst és hőérzékelő vészjelző csomag</t>
        </is>
      </c>
      <c r="C849" s="1" t="n">
        <v>42390.0</v>
      </c>
      <c r="D849" s="7" t="n">
        <f>HYPERLINK("https://www.somogyi.hu/product/fireangel-safety-pack-2-gazdasagos-co-fust-es-hoerzekelo-veszjelzo-csomag-fa-sp-2-18248","https://www.somogyi.hu/product/fireangel-safety-pack-2-gazdasagos-co-fust-es-hoerzekelo-veszjelzo-csomag-fa-sp-2-18248")</f>
        <v>0.0</v>
      </c>
      <c r="E849" s="7" t="n">
        <f>HYPERLINK("https://www.somogyi.hu/data/img/product_main_images/small/18248.jpg","https://www.somogyi.hu/data/img/product_main_images/small/18248.jpg")</f>
        <v>0.0</v>
      </c>
      <c r="F849" s="2" t="inlineStr">
        <is>
          <t>5999084962708</t>
        </is>
      </c>
      <c r="G849" s="4" t="inlineStr">
        <is>
          <t>Ismerkedjen meg a FireAngel Safety Pack 2-vel,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1 db FA6120-INT FireAngel füstjelző
1 db FA6111-INT FireAngel füstjelző
1 db FA6215-INT FireAngel hőérzékelő
A csomagban megtalálható összesen 4 db vészjelző segítségével könnyedén és gyorsan építhet kihelyi szén monoxid mérgezések és tűzesetek elleni védelmet otthonában. A csomag ideális például az alábbi típuslakáshoz: amerikai konyhás nappalihoz, ahol gáztűzhely található, valamint 1 hálószobához és folyosóhoz.
Tegyen Ön is családja és otthona biztonságáért! Válassza a FireAngel Safety Pack 2 csomagot, és biztosítsa be lakását hatékony tűz- és szén-monoxid mérgezés elleni védelemmel.</t>
        </is>
      </c>
    </row>
    <row r="850">
      <c r="A850" s="3" t="inlineStr">
        <is>
          <t>FA SP 3</t>
        </is>
      </c>
      <c r="B850" s="2" t="inlineStr">
        <is>
          <t>Fireangel Safety pack 3 - gazdaságos  füst és hőérzékelő vészjelző csomag</t>
        </is>
      </c>
      <c r="C850" s="1" t="n">
        <v>36490.0</v>
      </c>
      <c r="D850" s="7" t="n">
        <f>HYPERLINK("https://www.somogyi.hu/product/fireangel-safety-pack-3-gazdasagos-fust-es-hoerzekelo-veszjelzo-csomag-fa-sp-3-18249","https://www.somogyi.hu/product/fireangel-safety-pack-3-gazdasagos-fust-es-hoerzekelo-veszjelzo-csomag-fa-sp-3-18249")</f>
        <v>0.0</v>
      </c>
      <c r="E850" s="7" t="n">
        <f>HYPERLINK("https://www.somogyi.hu/data/img/product_main_images/small/18249.jpg","https://www.somogyi.hu/data/img/product_main_images/small/18249.jpg")</f>
        <v>0.0</v>
      </c>
      <c r="F850" s="2" t="inlineStr">
        <is>
          <t>5999084962715</t>
        </is>
      </c>
      <c r="G850" s="4" t="inlineStr">
        <is>
          <t>Ismerkedjen meg a FireAngel Safety Pack 3-al, a kínálatunkban megtalálható gazdaságos füst és hőérzékelelő vészjelző csomaggal! Ez a praktikus lakossági vészjelző csomag ideális választás, hiszen mindent tartalmaz, amire szüksége lehet családja és otthona biztonságának növeléséhez!
A csomag tartalma:
    2 db FA6120-INT FireAngel füstjelző
    1 db FA6111-INT FireAngel füstjelző
    1 db FA6215-INT FireAngel hőérzékelő
A csomagban megtalálható összesen 4 db vészjelző segítségével könnyedén és gyorsan építhet ki helyi tűzesetek elleni védelmet otthonában. A csomag ideális például az alábbi típuslakáshoz: amerikai konyhás nappalihoz, ahol elektromos tűzhely található, valamint 2 hálószobához és folyosóhoz.
Tegyen Ön is csládja és otthona biztonságáért! Válassza a FireAngel Safety Pack 3 csomagot, és biztosítsa be lakását hatékony tűzvédelemmel.</t>
        </is>
      </c>
    </row>
    <row r="851">
      <c r="A851" s="3" t="inlineStr">
        <is>
          <t>SCB10-INT</t>
        </is>
      </c>
      <c r="B851" s="2" t="inlineStr">
        <is>
          <t>FireAngel SCB10-INT kombinált szén-monoxid és füstérzékelő, beépített, nem cserélhető lítium elem, 10 év várható üzemidő, fehér</t>
        </is>
      </c>
      <c r="C851" s="1" t="n">
        <v>27590.0</v>
      </c>
      <c r="D851" s="7" t="n">
        <f>HYPERLINK("https://www.somogyi.hu/product/fireangel-scb10-int-kombinalt-szen-monoxid-es-fusterzekelo-beepitett-nem-cserelheto-litium-elem-10-ev-varhato-uzemido-feher-scb10-int-17133","https://www.somogyi.hu/product/fireangel-scb10-int-kombinalt-szen-monoxid-es-fusterzekelo-beepitett-nem-cserelheto-litium-elem-10-ev-varhato-uzemido-feher-scb10-int-17133")</f>
        <v>0.0</v>
      </c>
      <c r="E851" s="7" t="n">
        <f>HYPERLINK("https://www.somogyi.hu/data/img/product_main_images/small/17133.jpg","https://www.somogyi.hu/data/img/product_main_images/small/17133.jpg")</f>
        <v>0.0</v>
      </c>
      <c r="F851" s="2" t="inlineStr">
        <is>
          <t>0816317004972</t>
        </is>
      </c>
      <c r="G851" s="4" t="inlineStr">
        <is>
          <t>Ön is azok közé tartozik, akik a maximális otthoni biztonságot keresik? A FireAngel SCB10-INT kombinált szén-monoxid és füstjelző az EN 50291-1, EN 50291-2 és EN 14604 szabványoknak laborvizsgálattal igazoltan megfelel.
A készülékben található fejlett elektrokémiai CO érzékelő és optikai füstérzékelő a legkisebb veszélyt is azonnal jelzik. A praktikus funkcióknak köszönhetően, mint a tesztüzemmód, a némítás és az élettartam vége jelzés nem csupán az Ön biztonságát, hanem a kényelmét is szolgálják. A készüléken található LED-ek jelzik a bekapcsolt állapotot, az esetleges meghibásodást és a riasztás módját.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Üzembe helyezés előtt figyelmesen olvassa el a termék használati útmutatóját! A garancia ideje 3 év.</t>
        </is>
      </c>
    </row>
    <row r="852">
      <c r="A852" s="3" t="inlineStr">
        <is>
          <t>NM-CO-10X-INT</t>
        </is>
      </c>
      <c r="B852" s="2" t="inlineStr">
        <is>
          <t>FireAngel NM-CO-10X-INT szén-monoxid vészjelző, beépített, nem cserélhető lítium elem, 10 év várható üzemidő, W2-modulal hálózatba kapcsolható, fehér</t>
        </is>
      </c>
      <c r="C852" s="1" t="n">
        <v>27590.0</v>
      </c>
      <c r="D852" s="7" t="n">
        <f>HYPERLINK("https://www.somogyi.hu/product/fireangel-nm-co-10x-int-szen-monoxid-veszjelzo-beepitett-nem-cserelheto-litium-elem-10-ev-varhato-uzemido-w2-modulal-halozatba-kapcsolhato-feher-nm-co-10x-int-17946","https://www.somogyi.hu/product/fireangel-nm-co-10x-int-szen-monoxid-veszjelzo-beepitett-nem-cserelheto-litium-elem-10-ev-varhato-uzemido-w2-modulal-halozatba-kapcsolhato-feher-nm-co-10x-int-17946")</f>
        <v>0.0</v>
      </c>
      <c r="E852" s="7" t="n">
        <f>HYPERLINK("https://www.somogyi.hu/data/img/product_main_images/small/17946.jpg","https://www.somogyi.hu/data/img/product_main_images/small/17946.jpg")</f>
        <v>0.0</v>
      </c>
      <c r="F852" s="2" t="inlineStr">
        <is>
          <t>0816317004941</t>
        </is>
      </c>
      <c r="G852" s="4" t="inlineStr">
        <is>
          <t>Szeretné, ha otthona minden pillanatban a legmagasabb biztonságban lenne? A FireAngel NM-CO-10X-INT szén-monoxid vészjelző pontosan úgy lett kifejlesztve, hogy ezt garantálhassa Önnek!
A termék az EN 50291-1 és EN 50291-2 szabványoknak laborvizsgálattal igazoltan megfelel. A készülékház UL94 V0 lángálló műanyagból készült. A CO szenzor tesztüzemmód lehetővé teszi a rendszeres ellenőrzést, míg az élettartam vége jelzés időben figyelmeztet a készülék cseréjére. A vészjelző tápellátását beépített, nem cserélhető lítium elem biztosítja, melynek várható üzemideje 10 év, megfelelő körülmények (-10 °C és +40 °C közötti hőmérséklet; 30-90% közötti relatív páratartalom) közti használat mellett. A NM-CO-10X-INT szén-monoxid 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53">
      <c r="A853" s="3" t="inlineStr">
        <is>
          <t>FA3322-INT</t>
        </is>
      </c>
      <c r="B853" s="2" t="inlineStr">
        <is>
          <t>FireAngel FA3322-INT szén-monoxid vészjelző, beépített, nem cserélhető lítium elem, 10 év várható üzemidő, LCD kijelző, fehér</t>
        </is>
      </c>
      <c r="C853" s="1" t="n">
        <v>22390.0</v>
      </c>
      <c r="D853" s="7" t="n">
        <f>HYPERLINK("https://www.somogyi.hu/product/fireangel-fa3322-int-szen-monoxid-veszjelzo-beepitett-nem-cserelheto-litium-elem-10-ev-varhato-uzemido-lcd-kijelzo-feher-fa3322-int-17864","https://www.somogyi.hu/product/fireangel-fa3322-int-szen-monoxid-veszjelzo-beepitett-nem-cserelheto-litium-elem-10-ev-varhato-uzemido-lcd-kijelzo-feher-fa3322-int-17864")</f>
        <v>0.0</v>
      </c>
      <c r="E853" s="7" t="n">
        <f>HYPERLINK("https://www.somogyi.hu/data/img/product_main_images/small/17864.jpg","https://www.somogyi.hu/data/img/product_main_images/small/17864.jpg")</f>
        <v>0.0</v>
      </c>
      <c r="F853" s="2" t="inlineStr">
        <is>
          <t>0816317005979</t>
        </is>
      </c>
      <c r="G853" s="4" t="inlineStr">
        <is>
          <t>Szeretne maximális biztonságban élni és megóvni szeretteit a szén-monoxid mérgezés veszélyeitől? Használjon otthonában az informatív LCD kijelzős FireAngel FA3322-INT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Többek között rendelkezik szellőztetésre figyelmeztetéssel, szélsőséges hőmérséklet és páratartalom érték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54">
      <c r="A854" s="6" t="inlineStr">
        <is>
          <t xml:space="preserve">   Szén-monoxid- és füstérzékelők / Füstérzékelő, tűzérzékelő</t>
        </is>
      </c>
      <c r="B854" s="6" t="inlineStr">
        <is>
          <t/>
        </is>
      </c>
      <c r="C854" s="6" t="inlineStr">
        <is>
          <t/>
        </is>
      </c>
      <c r="D854" s="6" t="inlineStr">
        <is>
          <t/>
        </is>
      </c>
      <c r="E854" s="6" t="inlineStr">
        <is>
          <t/>
        </is>
      </c>
      <c r="F854" s="6" t="inlineStr">
        <is>
          <t/>
        </is>
      </c>
      <c r="G854" s="6" t="inlineStr">
        <is>
          <t/>
        </is>
      </c>
    </row>
    <row r="855">
      <c r="A855" s="3" t="inlineStr">
        <is>
          <t>FA6215-INT</t>
        </is>
      </c>
      <c r="B855" s="2" t="inlineStr">
        <is>
          <t>FireAngel FA6215-INT hőérzékelő, elemes, 10 év várható üzemidő, fehér</t>
        </is>
      </c>
      <c r="C855" s="1" t="n">
        <v>12890.0</v>
      </c>
      <c r="D855" s="7" t="n">
        <f>HYPERLINK("https://www.somogyi.hu/product/fireangel-fa6215-int-hoerzekelo-elemes-10-ev-varhato-uzemido-feher-fa6215-int-17987","https://www.somogyi.hu/product/fireangel-fa6215-int-hoerzekelo-elemes-10-ev-varhato-uzemido-feher-fa6215-int-17987")</f>
        <v>0.0</v>
      </c>
      <c r="E855" s="7" t="n">
        <f>HYPERLINK("https://www.somogyi.hu/data/img/product_main_images/small/17987.jpg","https://www.somogyi.hu/data/img/product_main_images/small/17987.jpg")</f>
        <v>0.0</v>
      </c>
      <c r="F855" s="2" t="inlineStr">
        <is>
          <t>0816317006396</t>
        </is>
      </c>
      <c r="G855" s="4" t="inlineStr">
        <is>
          <t>Tudta, hogy létezik olyan hőérzékelő, ami időben figyelmeztet a veszélyes hőmérséklet-emelkedésre? A FireAngel FA6215-INT hőérzékelő azonnali vészjelzéssel riaszt, ha a helyiség hőmérséklete meghatározott intenzitás mellett a kritikus 54 és 65°C közé emelkedik.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5 év, megfelelő működési hőmérséklet (+4 °C - +38 °C) mellett. A FireAngel FA6215-INT hőérzékelő nem csupán a háztartásokban, hanem lakókocsikban és mobil házakban is használható. Ideális megoldás konyha, garázs és tetőtér tűzvédelmére. Üzembe helyezés előtt figyelmesen olvassa el a termék használati útmutatóját! A garancia ideje 5 év, a készülék várható élettartama 10 év.</t>
        </is>
      </c>
    </row>
    <row r="856">
      <c r="A856" s="3" t="inlineStr">
        <is>
          <t>ST-622-INT</t>
        </is>
      </c>
      <c r="B856" s="2" t="inlineStr">
        <is>
          <t>FireAngel ST-622-INT kombinált hő- és optikai füstérzékelő, Thermoptek technológia, beépített, nem cserélhető lítium elem, 10 év várható üzemidő, fehér</t>
        </is>
      </c>
      <c r="C856" s="1" t="n">
        <v>12290.0</v>
      </c>
      <c r="D856" s="7" t="n">
        <f>HYPERLINK("https://www.somogyi.hu/product/fireangel-st-622-int-kombinalt-ho-es-optikai-fusterzekelo-thermoptek-technologia-beepitett-nem-cserelheto-litium-elem-10-ev-varhato-uzemido-feher-st-622-int-17132","https://www.somogyi.hu/product/fireangel-st-622-int-kombinalt-ho-es-optikai-fusterzekelo-thermoptek-technologia-beepitett-nem-cserelheto-litium-elem-10-ev-varhato-uzemido-feher-st-622-int-17132")</f>
        <v>0.0</v>
      </c>
      <c r="E856" s="7" t="n">
        <f>HYPERLINK("https://www.somogyi.hu/data/img/product_main_images/small/17132.jpg","https://www.somogyi.hu/data/img/product_main_images/small/17132.jpg")</f>
        <v>0.0</v>
      </c>
      <c r="F856" s="2" t="inlineStr">
        <is>
          <t>0816317003760</t>
        </is>
      </c>
      <c r="G856" s="4" t="inlineStr">
        <is>
          <t>Olyan érzékelőre van szüksége, ami nem csak a füstöt, hanem a hőt is érzékeli? A FireAngel ST-622-INT kombinált hő- és füstérzékelő a legmodernebb technológiai megoldásokkal áll rendelkezésére.
Az EN 14604 szabványnak laborvizsgálattal igazoltan megfelel. A készülékbe beépített Thermoptek kombinált szenzor ötvözi a legkorszerűbb optikai érzékelést a hőérzékeléssel, így egyaránt gyorsan érzékeli a hevesen lángoló és a parázsló tüzeket is.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A praktikus funkciók, mint tesztüzemmód, a könnyű alvás funkció, az okos némítás és az élettartam vége jelzés gondoskodnak nem csupán az Ön biztonságáról, hanem kényelméről is.
Üzembe helyezés előtt figyelmesen olvassa el a termék használati útmutatóját! A garancia ideje 5 év.</t>
        </is>
      </c>
    </row>
    <row r="857">
      <c r="A857" s="3" t="inlineStr">
        <is>
          <t>FA6120-INT</t>
        </is>
      </c>
      <c r="B857" s="2" t="inlineStr">
        <is>
          <t>FireAngel FA6120-INT optikai füstérzékelő, beépített, nem cserélhető lítium elem, 10 év várható üzemidő, fehér</t>
        </is>
      </c>
      <c r="C857" s="1" t="n">
        <v>10290.0</v>
      </c>
      <c r="D857" s="7" t="n">
        <f>HYPERLINK("https://www.somogyi.hu/product/fireangel-fa6120-int-optikai-fusterzekelo-beepitett-nem-cserelheto-litium-elem-10-ev-varhato-uzemido-feher-fa6120-int-17908","https://www.somogyi.hu/product/fireangel-fa6120-int-optikai-fusterzekelo-beepitett-nem-cserelheto-litium-elem-10-ev-varhato-uzemido-feher-fa6120-int-17908")</f>
        <v>0.0</v>
      </c>
      <c r="E857" s="7" t="n">
        <f>HYPERLINK("https://www.somogyi.hu/data/img/product_main_images/small/17908.jpg","https://www.somogyi.hu/data/img/product_main_images/small/17908.jpg")</f>
        <v>0.0</v>
      </c>
      <c r="F857" s="2" t="inlineStr">
        <is>
          <t>0816317006402</t>
        </is>
      </c>
      <c r="G857" s="4" t="inlineStr">
        <is>
          <t>Egy megbízható eszközt keres, ami időben észleli a veszélyes füstöt otthonában? A FireAngel FA6120-INT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élettartam vége jelzés gondoskodnak nem csupán az Ön biztonságáról, hanem kényelméről is. A vészjelző tápellátását beépített, nem cserélhető lítium elem biztosítja, melynek várható üzemideje 10 év, megfelelő működési hőmérséklet (+4 °C - +38 °C) mellett. A FireAngel FA6120-INT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58">
      <c r="A858" s="3" t="inlineStr">
        <is>
          <t>FA6111-INT</t>
        </is>
      </c>
      <c r="B858" s="2" t="inlineStr">
        <is>
          <t>FireAngel FA6111-INT optikai füstérzékelő, elemes, 10 év várható üzemidő, fehér</t>
        </is>
      </c>
      <c r="C858" s="1" t="n">
        <v>11290.0</v>
      </c>
      <c r="D858" s="7" t="n">
        <f>HYPERLINK("https://www.somogyi.hu/product/fireangel-fa6111-int-optikai-fusterzekelo-elemes-10-ev-varhato-uzemido-feher-fa6111-int-17910","https://www.somogyi.hu/product/fireangel-fa6111-int-optikai-fusterzekelo-elemes-10-ev-varhato-uzemido-feher-fa6111-int-17910")</f>
        <v>0.0</v>
      </c>
      <c r="E858" s="7" t="n">
        <f>HYPERLINK("https://www.somogyi.hu/data/img/product_main_images/small/17910.jpg","https://www.somogyi.hu/data/img/product_main_images/small/17910.jpg")</f>
        <v>0.0</v>
      </c>
      <c r="F858" s="2" t="inlineStr">
        <is>
          <t>0816317006426</t>
        </is>
      </c>
      <c r="G858" s="4" t="inlineStr">
        <is>
          <t>Egy megbízható eszközt keres, ami időben észleli a veszélyes füstöt otthonában? A FireAngel FA6111-INT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a beépített menekülőút jelző lámpa, a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FA6111-INT optikai füstérzékelőt a beépített menekülőút jelző lámpa miatt érdemes folyosón, a menekülési útvonal mentén elhelyezni, hogy megvilágítsa a biztonság felé vezető utat.
Üzembe helyezés előtt figyelmesen olvassa el a termék használati útmutatóját! A garancia ideje 5 év, a készülék várható élettartama 10 év.</t>
        </is>
      </c>
    </row>
    <row r="859">
      <c r="A859" s="3" t="inlineStr">
        <is>
          <t>W2-MODULE</t>
        </is>
      </c>
      <c r="B859" s="2" t="inlineStr">
        <is>
          <t>FireAngel W2-MODULE, hálózati összekötő modul, saját áramforrás, érzékelők összekapcsolása</t>
        </is>
      </c>
      <c r="C859" s="1" t="n">
        <v>17990.0</v>
      </c>
      <c r="D859" s="7" t="n">
        <f>HYPERLINK("https://www.somogyi.hu/product/fireangel-w2-module-halozati-osszekoto-modul-sajat-aramforras-erzekelok-osszekapcsolasa-w2-module-17555","https://www.somogyi.hu/product/fireangel-w2-module-halozati-osszekoto-modul-sajat-aramforras-erzekelok-osszekapcsolasa-w2-module-17555")</f>
        <v>0.0</v>
      </c>
      <c r="E859" s="7" t="n">
        <f>HYPERLINK("https://www.somogyi.hu/data/img/product_main_images/small/17555.jpg","https://www.somogyi.hu/data/img/product_main_images/small/17555.jpg")</f>
        <v>0.0</v>
      </c>
      <c r="F859" s="2" t="inlineStr">
        <is>
          <t>0816317002169</t>
        </is>
      </c>
      <c r="G859" s="4" t="inlineStr">
        <is>
          <t>Hogy hogyan építhet ki teljes vészjelző hálózatot otthonában? A FireAngel W2 MODUL segítségével, mely kifejezetten az ST-630-INT, HT-630-NEUT és NM-CO-10X-INT vészjelzőkhöz illeszthető.
A W2 modulnak köszönhetően a hálózatba kapcsolt termékek közül, ha egy riaszt, az összes többi is riaszt, így a legkorábban értesül a veszélyről , bárhol is tartózkodik otthonában. A saját áramforrásának (beépített, nem cserélhető lítium elemmel) köszönhetően a modul működése egyáltalán nem befolyásolja a hálózatba kapcsolt vészjelzők várható üzemidejét. Üzembe helyezés előtt figyelmesen olvassa el a termék használati útmutatóját!
Tegye még okosabbá és biztonságosabbá otthonát a FireAngel W2 MODULE segítségével!</t>
        </is>
      </c>
    </row>
    <row r="860">
      <c r="A860" s="3" t="inlineStr">
        <is>
          <t>SMO 01</t>
        </is>
      </c>
      <c r="B860" s="2" t="inlineStr">
        <is>
          <t>Home SMO 01 füstérzékelő, elemes, 85 dB, LED, fehér</t>
        </is>
      </c>
      <c r="C860" s="1" t="n">
        <v>3790.0</v>
      </c>
      <c r="D860" s="7" t="n">
        <f>HYPERLINK("https://www.somogyi.hu/product/home-smo-01-fusterzekelo-elemes-85-db-led-feher-smo-01-15740","https://www.somogyi.hu/product/home-smo-01-fusterzekelo-elemes-85-db-led-feher-smo-01-15740")</f>
        <v>0.0</v>
      </c>
      <c r="E860" s="7" t="n">
        <f>HYPERLINK("https://www.somogyi.hu/data/img/product_main_images/small/15740.jpg","https://www.somogyi.hu/data/img/product_main_images/small/15740.jpg")</f>
        <v>0.0</v>
      </c>
      <c r="F860" s="2" t="inlineStr">
        <is>
          <t>5999084937744</t>
        </is>
      </c>
      <c r="G860" s="4" t="inlineStr">
        <is>
          <t>Biztonságban szeretné tudni szeretteit és otthonát? Válassza az SMO 01 füstérzékelőt, amely magasfokú megbízhatósággal működik.
Az erőteljes, 85 dB-es szirénának köszönhetően, időben értesülhet a vészhelyzetről, melyet a némítás funkcióval szükség esetén el is némíthat. Beépített LED pontosan tájékoztatja Önt a készülék állapotáról. Az SMO 01 füstérzékelő egyszerűen és gyorsan telepíthető. A vészjelző tápellátását 1 db cserélhető 9 V (6F22) elem (tartozék) biztosítja.
Üzembe helyezés előtt figyelmesen olvassa el a termék használati útmutatóját! Tegyen otthona biztonságáért, és telepítse az SMO 01 füstérzékelőt!</t>
        </is>
      </c>
    </row>
    <row r="861">
      <c r="A861" s="3" t="inlineStr">
        <is>
          <t>HT-630-NEUT</t>
        </is>
      </c>
      <c r="B861" s="2" t="inlineStr">
        <is>
          <t>FireAngel HT-630-NEUT Thermistek hőérzékelő, beépített, nem cserélhető lítium elem, 10 év várható üzemidő, W2-modulal hálózatba kapcsolható, fehér</t>
        </is>
      </c>
      <c r="C861" s="1" t="n">
        <v>18090.0</v>
      </c>
      <c r="D861" s="7" t="n">
        <f>HYPERLINK("https://www.somogyi.hu/product/fireangel-ht-630-neut-thermistek-hoerzekelo-beepitett-nem-cserelheto-litium-elem-10-ev-varhato-uzemido-w2-modulal-halozatba-kapcsolhato-feher-ht-630-neut-17554","https://www.somogyi.hu/product/fireangel-ht-630-neut-thermistek-hoerzekelo-beepitett-nem-cserelheto-litium-elem-10-ev-varhato-uzemido-w2-modulal-halozatba-kapcsolhato-feher-ht-630-neut-17554")</f>
        <v>0.0</v>
      </c>
      <c r="E861" s="7" t="n">
        <f>HYPERLINK("https://www.somogyi.hu/data/img/product_main_images/small/17554.jpg","https://www.somogyi.hu/data/img/product_main_images/small/17554.jpg")</f>
        <v>0.0</v>
      </c>
      <c r="F861" s="2" t="inlineStr">
        <is>
          <t>0816317003968</t>
        </is>
      </c>
      <c r="G861" s="4" t="inlineStr">
        <is>
          <t>Szeretné, ha otthona minden pillanatban a legmagasabb biztonságban lenne? Telepítse a FireAngel HT-630-NEUT hőérzékelőt, mely a beépített Thermistek technológiás hőérzékelő megoldással gyorsan érzékeli a hevesen lángoló tüzeket. Ideális megoldás konyha, garázs és tetőtér tűzvédelmére.
A készülék az EN 5446-2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 HT-630-INT hőérzékelőt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62">
      <c r="A862" s="3" t="inlineStr">
        <is>
          <t>SMO 10</t>
        </is>
      </c>
      <c r="B862" s="2" t="inlineStr">
        <is>
          <t>Home SMO 10 füstriasztó, beépített akkumulátor, 10 év várható üzemidő, fehér</t>
        </is>
      </c>
      <c r="C862" s="1" t="n">
        <v>7990.0</v>
      </c>
      <c r="D862" s="7" t="n">
        <f>HYPERLINK("https://www.somogyi.hu/product/home-smo-10-fustriaszto-beepitett-akkumulator-10-ev-varhato-uzemido-feher-smo-10-17785","https://www.somogyi.hu/product/home-smo-10-fustriaszto-beepitett-akkumulator-10-ev-varhato-uzemido-feher-smo-10-17785")</f>
        <v>0.0</v>
      </c>
      <c r="E862" s="7" t="n">
        <f>HYPERLINK("https://www.somogyi.hu/data/img/product_main_images/small/17785.jpg","https://www.somogyi.hu/data/img/product_main_images/small/17785.jpg")</f>
        <v>0.0</v>
      </c>
      <c r="F862" s="2" t="inlineStr">
        <is>
          <t>5999084958077</t>
        </is>
      </c>
      <c r="G862" s="4" t="inlineStr">
        <is>
          <t>Biztonságban szeretné tudni szeretteit és otthonát? Az SMO 10 füstriasztó az optikai elvű érzékelésnek köszönhetően nagyfokú megbízhatósággal működik.
Az erőteljes, 85 dB-es szirénának köszönhetően, időben értesülhet a vészhelyzetről, melyet a némítás funkcióval szükség esetén el is némíthat. Beépített LED pontosan tájékoztatja Önt a készülék állapotáról. Az SMO 10 füstriasztó egyszerűen és gyorsan telepíthető. A vészjelző tápellátását beépített, nem cserélhető lítium elem biztosítja, melynek várható üzemideje 10 év, megfelelő üzemelési körülmények közt.
Üzembe helyezés előtt figyelmesen olvassa el a termék használati útmutatóját!</t>
        </is>
      </c>
    </row>
    <row r="863">
      <c r="A863" s="3" t="inlineStr">
        <is>
          <t>ST-630-INT</t>
        </is>
      </c>
      <c r="B863" s="2" t="inlineStr">
        <is>
          <t>FireAngel ST-630-INT hő- és füstérzékelő, kombinált, Thermoptek multiszenzor, lángálló műanyag, tesztüzemmód, ~10 év élettartam, hálózatba kapcsolható</t>
        </is>
      </c>
      <c r="C863" s="1" t="n">
        <v>18990.0</v>
      </c>
      <c r="D863" s="7" t="n">
        <f>HYPERLINK("https://www.somogyi.hu/product/fireangel-st-630-int-ho-es-fusterzekelo-kombinalt-thermoptek-multiszenzor-langallo-muanyag-tesztuzemmod-10-ev-elettartam-halozatba-kapcsolhato-st-630-int-17553","https://www.somogyi.hu/product/fireangel-st-630-int-ho-es-fusterzekelo-kombinalt-thermoptek-multiszenzor-langallo-muanyag-tesztuzemmod-10-ev-elettartam-halozatba-kapcsolhato-st-630-int-17553")</f>
        <v>0.0</v>
      </c>
      <c r="E863" s="7" t="n">
        <f>HYPERLINK("https://www.somogyi.hu/data/img/product_main_images/small/17553.jpg","https://www.somogyi.hu/data/img/product_main_images/small/17553.jpg")</f>
        <v>0.0</v>
      </c>
      <c r="F863" s="2" t="inlineStr">
        <is>
          <t>0816317004491</t>
        </is>
      </c>
      <c r="G863" s="4" t="inlineStr">
        <is>
          <t>Szeretné, ha otthona minden pillanatban a legmagasabb biztonságban lenne? Telepítse a FireAngel ST-630-INT kombinált hő-és füstérzékelőt, mely a beépített Thermoptek multiszenzornak köszönhetően ötvözi a legkorszerűbb optikai érzékelést a hőérzékeléssel, így egyaránt gyorsan érzékeli a hevesen lángoló és a parázsló tüzeket is.
A készülék az EN 14604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Az ST-630-INT kombinált hő-és füstérzékelő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5 év, a készülék várható élettartama 10 év. Tegyen otthona biztonságáért még ma!</t>
        </is>
      </c>
    </row>
    <row r="864">
      <c r="A864" s="3" t="inlineStr">
        <is>
          <t>FA6115-INT</t>
        </is>
      </c>
      <c r="B864" s="2" t="inlineStr">
        <is>
          <t>FireAngel FA6115-INT optikai füstérzékelő, elemes, 10 év várható üzemidő, fehér</t>
        </is>
      </c>
      <c r="C864" s="1" t="n">
        <v>8890.0</v>
      </c>
      <c r="D864" s="7" t="n">
        <f>HYPERLINK("https://www.somogyi.hu/product/fireangel-fa6115-int-optikai-fusterzekelo-elemes-10-ev-varhato-uzemido-feher-fa6115-int-17909","https://www.somogyi.hu/product/fireangel-fa6115-int-optikai-fusterzekelo-elemes-10-ev-varhato-uzemido-feher-fa6115-int-17909")</f>
        <v>0.0</v>
      </c>
      <c r="E864" s="7" t="n">
        <f>HYPERLINK("https://www.somogyi.hu/data/img/product_main_images/small/17909.jpg","https://www.somogyi.hu/data/img/product_main_images/small/17909.jpg")</f>
        <v>0.0</v>
      </c>
      <c r="F864" s="2" t="inlineStr">
        <is>
          <t>0816317006419</t>
        </is>
      </c>
      <c r="G864" s="4" t="inlineStr">
        <is>
          <t>Egy megbízható eszközt keres, ami időben észleli a veszélyes füstöt otthonában? A FireAngel FA6115-INT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FA6115-INT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65">
      <c r="A865" s="6" t="inlineStr">
        <is>
          <t xml:space="preserve">   Karácsonyi dekorációs világítás / Sorolható adapteres család</t>
        </is>
      </c>
      <c r="B865" s="6" t="inlineStr">
        <is>
          <t/>
        </is>
      </c>
      <c r="C865" s="6" t="inlineStr">
        <is>
          <t/>
        </is>
      </c>
      <c r="D865" s="6" t="inlineStr">
        <is>
          <t/>
        </is>
      </c>
      <c r="E865" s="6" t="inlineStr">
        <is>
          <t/>
        </is>
      </c>
      <c r="F865" s="6" t="inlineStr">
        <is>
          <t/>
        </is>
      </c>
      <c r="G865" s="6" t="inlineStr">
        <is>
          <t/>
        </is>
      </c>
    </row>
    <row r="866">
      <c r="A866" s="3" t="inlineStr">
        <is>
          <t>DLF 600/WH</t>
        </is>
      </c>
      <c r="B866" s="2" t="inlineStr">
        <is>
          <t>Home DLF 600/WH LED-es fényfüggöny, 2x3 m / 600 db hidegfehér LED, állófényű, fehér vezeték, sorolható, kül- és beltéri kivitel</t>
        </is>
      </c>
      <c r="C866" s="1" t="n">
        <v>23190.0</v>
      </c>
      <c r="D866" s="7" t="n">
        <f>HYPERLINK("https://www.somogyi.hu/product/home-dlf-600-wh-led-es-fenyfuggony-2x3-m-600-db-hidegfeher-led-allofenyu-feher-vezetek-sorolhato-kul-es-belteri-kivitel-dlf-600-wh-14635","https://www.somogyi.hu/product/home-dlf-600-wh-led-es-fenyfuggony-2x3-m-600-db-hidegfeher-led-allofenyu-feher-vezetek-sorolhato-kul-es-belteri-kivitel-dlf-600-wh-14635")</f>
        <v>0.0</v>
      </c>
      <c r="E866" s="7" t="n">
        <f>HYPERLINK("https://www.somogyi.hu/data/img/product_main_images/small/14635.jpg","https://www.somogyi.hu/data/img/product_main_images/small/14635.jpg")</f>
        <v>0.0</v>
      </c>
      <c r="F866" s="2" t="inlineStr">
        <is>
          <t>5999084926779</t>
        </is>
      </c>
      <c r="G866" s="4" t="inlineStr">
        <is>
          <t>Varázsoljon esküvőre vagy egyéb rendezvényre meghitt, ünnepi hangulatot. A DLF 600/WH típusú sorolható fényfüggöny mindehhez garantáltan ideális választás. A jeles események hangulatához illő fehér színű vezeték a klasszikus, állófényű égőkhöz csatlakozik. Az égők hidegfehér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600/WH akár az esküvői rendezvények továbbá a karácsonyi dekorációk elengedhetetlen kelléke lesz. Válassza a minőségi termékeket és rendeljen webáruházunkból!</t>
        </is>
      </c>
    </row>
    <row r="867">
      <c r="A867" s="3" t="inlineStr">
        <is>
          <t>DLFJ 200F/WW</t>
        </is>
      </c>
      <c r="B867" s="2" t="inlineStr">
        <is>
          <t>Home DLFJ 200F/WW LED-es sziporkázó fényfüggöny, 5 m / 200 db melegfehér LED, állófényű, fehér vezeték, sorolható, kül- és beltéri kivitel</t>
        </is>
      </c>
      <c r="C867" s="1" t="n">
        <v>12790.0</v>
      </c>
      <c r="D867" s="7" t="n">
        <f>HYPERLINK("https://www.somogyi.hu/product/home-dlfj-200f-ww-led-es-sziporkazo-fenyfuggony-5-m-200-db-melegfeher-led-allofenyu-feher-vezetek-sorolhato-kul-es-belteri-kivitel-dlfj-200f-ww-17324","https://www.somogyi.hu/product/home-dlfj-200f-ww-led-es-sziporkazo-fenyfuggony-5-m-200-db-melegfeher-led-allofenyu-feher-vezetek-sorolhato-kul-es-belteri-kivitel-dlfj-200f-ww-17324")</f>
        <v>0.0</v>
      </c>
      <c r="E867" s="7" t="n">
        <f>HYPERLINK("https://www.somogyi.hu/data/img/product_main_images/small/17324.jpg","https://www.somogyi.hu/data/img/product_main_images/small/17324.jpg")</f>
        <v>0.0</v>
      </c>
      <c r="F867" s="2" t="inlineStr">
        <is>
          <t>5999084953461</t>
        </is>
      </c>
      <c r="G867" s="4" t="inlineStr">
        <is>
          <t>A DLFJ 200F/WW jégcsap fényfüggöny igazán pompás karácsonyi hangulatot varázsol e szép ünnepre. A 200 db LED fény tökéletes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68">
      <c r="A868" s="3" t="inlineStr">
        <is>
          <t>DLI 200/WH</t>
        </is>
      </c>
      <c r="B868" s="2" t="inlineStr">
        <is>
          <t>Home DLI 200/WH LED-es fényfüzér, 10 m / 200 db hidegfehér LED, állófényű, fehér vezeték, sorolható, kül- és beltéri kivitel</t>
        </is>
      </c>
      <c r="C868" s="1" t="n">
        <v>7190.0</v>
      </c>
      <c r="D868" s="7" t="n">
        <f>HYPERLINK("https://www.somogyi.hu/product/home-dli-200-wh-led-es-fenyfuzer-10-m-200-db-hidegfeher-led-allofenyu-feher-vezetek-sorolhato-kul-es-belteri-kivitel-dli-200-wh-14632","https://www.somogyi.hu/product/home-dli-200-wh-led-es-fenyfuzer-10-m-200-db-hidegfeher-led-allofenyu-feher-vezetek-sorolhato-kul-es-belteri-kivitel-dli-200-wh-14632")</f>
        <v>0.0</v>
      </c>
      <c r="E868" s="7" t="n">
        <f>HYPERLINK("https://www.somogyi.hu/data/img/product_main_images/small/14632.jpg","https://www.somogyi.hu/data/img/product_main_images/small/14632.jpg")</f>
        <v>0.0</v>
      </c>
      <c r="F868" s="2" t="inlineStr">
        <is>
          <t>5999084926748</t>
        </is>
      </c>
      <c r="G868" s="4" t="inlineStr">
        <is>
          <t>A 10 méter hosszúságú DLI 200/WH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hideghefér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69">
      <c r="A869" s="3" t="inlineStr">
        <is>
          <t>DLFJ 400/WH</t>
        </is>
      </c>
      <c r="B869" s="2" t="inlineStr">
        <is>
          <t>Home DLFJ 400/WH LED-es fényfüggöny, 10 m / 400 db hidegfehér LED, állófényű, fehér vezeték, sorolható, kül- és beltéri kivitel</t>
        </is>
      </c>
      <c r="C869" s="1" t="n">
        <v>21790.0</v>
      </c>
      <c r="D869" s="7" t="n">
        <f>HYPERLINK("https://www.somogyi.hu/product/home-dlfj-400-wh-led-es-fenyfuggony-10-m-400-db-hidegfeher-led-allofenyu-feher-vezetek-sorolhato-kul-es-belteri-kivitel-dlfj-400-wh-15622","https://www.somogyi.hu/product/home-dlfj-400-wh-led-es-fenyfuggony-10-m-400-db-hidegfeher-led-allofenyu-feher-vezetek-sorolhato-kul-es-belteri-kivitel-dlfj-400-wh-15622")</f>
        <v>0.0</v>
      </c>
      <c r="E869" s="7" t="n">
        <f>HYPERLINK("https://www.somogyi.hu/data/img/product_main_images/small/15622.jpg","https://www.somogyi.hu/data/img/product_main_images/small/15622.jpg")</f>
        <v>0.0</v>
      </c>
      <c r="F869" s="2" t="inlineStr">
        <is>
          <t>5999084936563</t>
        </is>
      </c>
      <c r="G869" s="4" t="inlineStr">
        <is>
          <t>Idézze meg otthonában a kristályszínű jégcsapok szegélyezte téli tájak szépségét! A DLFJ 400/WH típusú egy LED-es, sorolható jégcsap fényfüggöny, amelynek segítségével könnyedén megalapozhatja a karácsonyi ünnepek meghitt, békés hangulatát.
A jégcsap fényfüggöny világítását összesen 400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0">
      <c r="A870" s="3" t="inlineStr">
        <is>
          <t>DLFC 600/WW</t>
        </is>
      </c>
      <c r="B870" s="2" t="inlineStr">
        <is>
          <t>Home DLFC 600/WW LED-es cluster fényfüggöny, 2,7x0,6 m / 600 db melegfehér LED, állófényű, fehér vezeték, sorolható, kül- és beltéri kivitel</t>
        </is>
      </c>
      <c r="C870" s="1" t="n">
        <v>18790.0</v>
      </c>
      <c r="D870" s="7" t="n">
        <f>HYPERLINK("https://www.somogyi.hu/product/home-dlfc-600-ww-led-es-cluster-fenyfuggony-2-7x0-6-m-600-db-melegfeher-led-allofenyu-feher-vezetek-sorolhato-kul-es-belteri-kivitel-dlfc-600-ww-18133","https://www.somogyi.hu/product/home-dlfc-600-ww-led-es-cluster-fenyfuggony-2-7x0-6-m-600-db-melegfeher-led-allofenyu-feher-vezetek-sorolhato-kul-es-belteri-kivitel-dlfc-600-ww-18133")</f>
        <v>0.0</v>
      </c>
      <c r="E870" s="7" t="n">
        <f>HYPERLINK("https://www.somogyi.hu/data/img/product_main_images/small/18133.jpg","https://www.somogyi.hu/data/img/product_main_images/small/18133.jpg")</f>
        <v>0.0</v>
      </c>
      <c r="F870" s="2" t="inlineStr">
        <is>
          <t>5999084961558</t>
        </is>
      </c>
      <c r="G870" s="4" t="inlineStr">
        <is>
          <t xml:space="preserve"> • kül- és beltéri kivitel 
 • 600 db melegfehér,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1">
      <c r="A871" s="3" t="inlineStr">
        <is>
          <t>DLFJ 400/WW</t>
        </is>
      </c>
      <c r="B871" s="2" t="inlineStr">
        <is>
          <t>Home DLFJ 400/WW LED-es fényfüggöny, 10 m / 400 db melegfehér LED, állófényű, fehér vezeték, sorolható, kül- és beltéri kivitel</t>
        </is>
      </c>
      <c r="C871" s="1" t="n">
        <v>21790.0</v>
      </c>
      <c r="D871" s="7" t="n">
        <f>HYPERLINK("https://www.somogyi.hu/product/home-dlfj-400-ww-led-es-fenyfuggony-10-m-400-db-melegfeher-led-allofenyu-feher-vezetek-sorolhato-kul-es-belteri-kivitel-dlfj-400-ww-15623","https://www.somogyi.hu/product/home-dlfj-400-ww-led-es-fenyfuggony-10-m-400-db-melegfeher-led-allofenyu-feher-vezetek-sorolhato-kul-es-belteri-kivitel-dlfj-400-ww-15623")</f>
        <v>0.0</v>
      </c>
      <c r="E871" s="7" t="n">
        <f>HYPERLINK("https://www.somogyi.hu/data/img/product_main_images/small/15623.jpg","https://www.somogyi.hu/data/img/product_main_images/small/15623.jpg")</f>
        <v>0.0</v>
      </c>
      <c r="F871" s="2" t="inlineStr">
        <is>
          <t>5999084936570</t>
        </is>
      </c>
      <c r="G871" s="4" t="inlineStr">
        <is>
          <t>Idézze meg otthonában a kristályszínű jégcsapok szegélyezte téli tájak szépségét! A DLFJ 400/WW típusú egy LED-es, sorolható jégcsap fényfüggöny, amelynek segítségével könnyedén megalapozhatja a karácsonyi ünnepek meghitt, békés hangulatát.
A jégcsap fényfüggöny világítását összesen 400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2">
      <c r="A872" s="3" t="inlineStr">
        <is>
          <t>DLF 210/WH</t>
        </is>
      </c>
      <c r="B872" s="2" t="inlineStr">
        <is>
          <t>Home DLF 210/WH LED-es fényfüggöny, 2x1 m / 210 db hidegfehér LED, állófényű, fehér vezeték, sorolható, kül- és beltéri kivitel</t>
        </is>
      </c>
      <c r="C872" s="1" t="n">
        <v>9890.0</v>
      </c>
      <c r="D872" s="7" t="n">
        <f>HYPERLINK("https://www.somogyi.hu/product/home-dlf-210-wh-led-es-fenyfuggony-2x1-m-210-db-hidegfeher-led-allofenyu-feher-vezetek-sorolhato-kul-es-belteri-kivitel-dlf-210-wh-17814","https://www.somogyi.hu/product/home-dlf-210-wh-led-es-fenyfuggony-2x1-m-210-db-hidegfeher-led-allofenyu-feher-vezetek-sorolhato-kul-es-belteri-kivitel-dlf-210-wh-17814")</f>
        <v>0.0</v>
      </c>
      <c r="E872" s="7" t="n">
        <f>HYPERLINK("https://www.somogyi.hu/data/img/product_main_images/small/17814.jpg","https://www.somogyi.hu/data/img/product_main_images/small/17814.jpg")</f>
        <v>0.0</v>
      </c>
      <c r="F872" s="2" t="inlineStr">
        <is>
          <t>5999084958367</t>
        </is>
      </c>
      <c r="G872" s="4" t="inlineStr">
        <is>
          <t xml:space="preserve"> • elhelyezhetőség: kültéri / beltéri 
 • fényforrás: LED 
 • fényforrások száma: 210 db 
 • fényforrások színe: hidegfehér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73">
      <c r="A873" s="3" t="inlineStr">
        <is>
          <t>DLFC 600/WH</t>
        </is>
      </c>
      <c r="B873" s="2" t="inlineStr">
        <is>
          <t>Home DLFC 600/WH LED-es cluster fényfüggöny, 2,7x0,6 m / 600 db hidegfehér LED, állófényű, fehér vezeték, sorolható, kül- és beltéri kivitel</t>
        </is>
      </c>
      <c r="C873" s="1" t="n">
        <v>18790.0</v>
      </c>
      <c r="D873" s="7" t="n">
        <f>HYPERLINK("https://www.somogyi.hu/product/home-dlfc-600-wh-led-es-cluster-fenyfuggony-2-7x0-6-m-600-db-hidegfeher-led-allofenyu-feher-vezetek-sorolhato-kul-es-belteri-kivitel-dlfc-600-wh-18132","https://www.somogyi.hu/product/home-dlfc-600-wh-led-es-cluster-fenyfuggony-2-7x0-6-m-600-db-hidegfeher-led-allofenyu-feher-vezetek-sorolhato-kul-es-belteri-kivitel-dlfc-600-wh-18132")</f>
        <v>0.0</v>
      </c>
      <c r="E873" s="7" t="n">
        <f>HYPERLINK("https://www.somogyi.hu/data/img/product_main_images/small/18132.jpg","https://www.somogyi.hu/data/img/product_main_images/small/18132.jpg")</f>
        <v>0.0</v>
      </c>
      <c r="F873" s="2" t="inlineStr">
        <is>
          <t>5999084961541</t>
        </is>
      </c>
      <c r="G873" s="4" t="inlineStr">
        <is>
          <t xml:space="preserve"> • kül- és beltéri kivitel 
 • 600 db hidegfehér,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4">
      <c r="A874" s="3" t="inlineStr">
        <is>
          <t>DLF 210/WW</t>
        </is>
      </c>
      <c r="B874" s="2" t="inlineStr">
        <is>
          <t>Home DLF 210/WW LED-es fényfüggöny, 2x1 m / 210 db melegfehér LED, állófényű, fehér vezeték, sorolható, kül- és beltéri kivitel</t>
        </is>
      </c>
      <c r="C874" s="1" t="n">
        <v>9890.0</v>
      </c>
      <c r="D874" s="7" t="n">
        <f>HYPERLINK("https://www.somogyi.hu/product/home-dlf-210-ww-led-es-fenyfuggony-2x1-m-210-db-melegfeher-led-allofenyu-feher-vezetek-sorolhato-kul-es-belteri-kivitel-dlf-210-ww-17815","https://www.somogyi.hu/product/home-dlf-210-ww-led-es-fenyfuggony-2x1-m-210-db-melegfeher-led-allofenyu-feher-vezetek-sorolhato-kul-es-belteri-kivitel-dlf-210-ww-17815")</f>
        <v>0.0</v>
      </c>
      <c r="E874" s="7" t="n">
        <f>HYPERLINK("https://www.somogyi.hu/data/img/product_main_images/small/17815.jpg","https://www.somogyi.hu/data/img/product_main_images/small/17815.jpg")</f>
        <v>0.0</v>
      </c>
      <c r="F874" s="2" t="inlineStr">
        <is>
          <t>5999084958374</t>
        </is>
      </c>
      <c r="G874" s="4" t="inlineStr">
        <is>
          <t xml:space="preserve"> • elhelyezhetőség: kültéri / beltéri 
 • fényforrás: LED 
 • fényforrások száma: 210 db 
 • fényforrások színe: melegfehér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75">
      <c r="A875" s="3" t="inlineStr">
        <is>
          <t>DLT</t>
        </is>
      </c>
      <c r="B875" s="2" t="inlineStr">
        <is>
          <t>Home DLT T-elosztó fényfüzérhez, Home DLI, Home DLF termékcsaládhoz, kül- és beltéri kivitel, fehér</t>
        </is>
      </c>
      <c r="C875" s="1" t="n">
        <v>1550.0</v>
      </c>
      <c r="D875" s="7" t="n">
        <f>HYPERLINK("https://www.somogyi.hu/product/home-dlt-t-eloszto-fenyfuzerhez-home-dli-home-dlf-termekcsaladhoz-kul-es-belteri-kivitel-feher-dlt-17323","https://www.somogyi.hu/product/home-dlt-t-eloszto-fenyfuzerhez-home-dli-home-dlf-termekcsaladhoz-kul-es-belteri-kivitel-feher-dlt-17323")</f>
        <v>0.0</v>
      </c>
      <c r="E875" s="7" t="n">
        <f>HYPERLINK("https://www.somogyi.hu/data/img/product_main_images/small/17323.jpg","https://www.somogyi.hu/data/img/product_main_images/small/17323.jpg")</f>
        <v>0.0</v>
      </c>
      <c r="F875" s="2" t="inlineStr">
        <is>
          <t>5999084953454</t>
        </is>
      </c>
      <c r="G875" s="4" t="inlineStr">
        <is>
          <t xml:space="preserve"> • elhelyezhetőség: kültéri / beltéri 
 • kompatibilitás: felhasználható a Somogyi Elektronic által forgalomba hozott DLI, DLF, DLFJ termékcsaládba tartozó fényfüzérekhez</t>
        </is>
      </c>
    </row>
    <row r="876">
      <c r="A876" s="3" t="inlineStr">
        <is>
          <t>DLI 200/WW</t>
        </is>
      </c>
      <c r="B876" s="2" t="inlineStr">
        <is>
          <t>Home DLI 200/WW LED-es fényfüzér, 10 m / 200 db melegfehér LED, állófényű, fehér vezeték, sorolható, kül- és beltéri kivitel</t>
        </is>
      </c>
      <c r="C876" s="1" t="n">
        <v>7190.0</v>
      </c>
      <c r="D876" s="7" t="n">
        <f>HYPERLINK("https://www.somogyi.hu/product/home-dli-200-ww-led-es-fenyfuzer-10-m-200-db-melegfeher-led-allofenyu-feher-vezetek-sorolhato-kul-es-belteri-kivitel-dli-200-ww-14633","https://www.somogyi.hu/product/home-dli-200-ww-led-es-fenyfuzer-10-m-200-db-melegfeher-led-allofenyu-feher-vezetek-sorolhato-kul-es-belteri-kivitel-dli-200-ww-14633")</f>
        <v>0.0</v>
      </c>
      <c r="E876" s="7" t="n">
        <f>HYPERLINK("https://www.somogyi.hu/data/img/product_main_images/small/14633.jpg","https://www.somogyi.hu/data/img/product_main_images/small/14633.jpg")</f>
        <v>0.0</v>
      </c>
      <c r="F876" s="2" t="inlineStr">
        <is>
          <t>5999084926755</t>
        </is>
      </c>
      <c r="G876" s="4" t="inlineStr">
        <is>
          <t>A 10 méter hosszúságú DLI 200/WW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meleghefér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77">
      <c r="A877" s="3" t="inlineStr">
        <is>
          <t>DLFJ 400F/WW</t>
        </is>
      </c>
      <c r="B877" s="2" t="inlineStr">
        <is>
          <t>Home DLFJ 400F/WW sziporkázó fényfüggöny, 10 m / 400 db melegfehér LED, állófényű, fehér vezeték, sorolható, kül- és beltéri kivitel</t>
        </is>
      </c>
      <c r="C877" s="1" t="n">
        <v>22890.0</v>
      </c>
      <c r="D877" s="7" t="n">
        <f>HYPERLINK("https://www.somogyi.hu/product/home-dlfj-400f-ww-sziporkazo-fenyfuggony-10-m-400-db-melegfeher-led-allofenyu-feher-vezetek-sorolhato-kul-es-belteri-kivitel-dlfj-400f-ww-17325","https://www.somogyi.hu/product/home-dlfj-400f-ww-sziporkazo-fenyfuggony-10-m-400-db-melegfeher-led-allofenyu-feher-vezetek-sorolhato-kul-es-belteri-kivitel-dlfj-400f-ww-17325")</f>
        <v>0.0</v>
      </c>
      <c r="E877" s="7" t="n">
        <f>HYPERLINK("https://www.somogyi.hu/data/img/product_main_images/small/17325.jpg","https://www.somogyi.hu/data/img/product_main_images/small/17325.jpg")</f>
        <v>0.0</v>
      </c>
      <c r="F877" s="2" t="inlineStr">
        <is>
          <t>5999084953478</t>
        </is>
      </c>
      <c r="G877" s="4" t="inlineStr">
        <is>
          <t>A DLFJ 400F/WW jégcsap fényfüggöny tökéletesen pompás karácsonyi hangulatot varázsol e csodás ünnepre. A 400 db LED fény szikrázó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78">
      <c r="A878" s="3" t="inlineStr">
        <is>
          <t>DLF 600/WW</t>
        </is>
      </c>
      <c r="B878" s="2" t="inlineStr">
        <is>
          <t>Home DLF 600/WH LED-es fényfüggöny, 2x3 m / 600 db melegfehér LED, állófényű, fehér vezeték, sorolható, kül- és beltéri kivitel</t>
        </is>
      </c>
      <c r="C878" s="1" t="n">
        <v>23190.0</v>
      </c>
      <c r="D878" s="7" t="n">
        <f>HYPERLINK("https://www.somogyi.hu/product/home-dlf-600-wh-led-es-fenyfuggony-2x3-m-600-db-melegfeher-led-allofenyu-feher-vezetek-sorolhato-kul-es-belteri-kivitel-dlf-600-ww-14636","https://www.somogyi.hu/product/home-dlf-600-wh-led-es-fenyfuggony-2x3-m-600-db-melegfeher-led-allofenyu-feher-vezetek-sorolhato-kul-es-belteri-kivitel-dlf-600-ww-14636")</f>
        <v>0.0</v>
      </c>
      <c r="E878" s="7" t="n">
        <f>HYPERLINK("https://www.somogyi.hu/data/img/product_main_images/small/14636.jpg","https://www.somogyi.hu/data/img/product_main_images/small/14636.jpg")</f>
        <v>0.0</v>
      </c>
      <c r="F878" s="2" t="inlineStr">
        <is>
          <t>5999084926786</t>
        </is>
      </c>
      <c r="G878" s="4" t="inlineStr">
        <is>
          <t>Varázsoljon esküvőre vagy egyéb rendezvényre meghitt, ünnepi hangulatot. A DLF 600/WW típusú sorolható fényfüggöny mindehhez garantáltan ideális választás. A jeles események hangulatához illő fehér színű vezeték a klasszikus, állófényű égőkhöz csatlakozik. Az égők melegfehér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600/WW akár az esküvői rendezvények továbbá a karácsonyi dekorációk elengedhetetlen kelléke lesz. Válassza a minőségi termékeket és rendeljen webáruházunkból!</t>
        </is>
      </c>
    </row>
    <row r="879">
      <c r="A879" s="3" t="inlineStr">
        <is>
          <t>DLFJ 200/WW</t>
        </is>
      </c>
      <c r="B879" s="2" t="inlineStr">
        <is>
          <t>Home DLFJ 200/WW LED-es fényfüggöny, 5 m / 200 db melegfehér LED, állófényű, fehér vezeték, sorolható, kül- és beltéri kivitel</t>
        </is>
      </c>
      <c r="C879" s="1" t="n">
        <v>12190.0</v>
      </c>
      <c r="D879" s="7" t="n">
        <f>HYPERLINK("https://www.somogyi.hu/product/home-dlfj-200-ww-led-es-fenyfuggony-5-m-200-db-melegfeher-led-allofenyu-feher-vezetek-sorolhato-kul-es-belteri-kivitel-dlfj-200-ww-14710","https://www.somogyi.hu/product/home-dlfj-200-ww-led-es-fenyfuggony-5-m-200-db-melegfeher-led-allofenyu-feher-vezetek-sorolhato-kul-es-belteri-kivitel-dlfj-200-ww-14710")</f>
        <v>0.0</v>
      </c>
      <c r="E879" s="7" t="n">
        <f>HYPERLINK("https://www.somogyi.hu/data/img/product_main_images/small/14710.jpg","https://www.somogyi.hu/data/img/product_main_images/small/14710.jpg")</f>
        <v>0.0</v>
      </c>
      <c r="F879" s="2" t="inlineStr">
        <is>
          <t>5999084927523</t>
        </is>
      </c>
      <c r="G879" s="4" t="inlineStr">
        <is>
          <t>Idézze meg otthonában a kristályszínű jégcsapok szegélyezte téli tájak szépségét! A DLFJ 200/WW típusú egy LED-es, sorolható jégcsap fényfüggöny, amelynek segítségével könnyedén megalapozhatja a karácsonyi ünnepek meghitt, békés hangulatát.
A jégcsap fényfüggöny világítását összesen 200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80">
      <c r="A880" s="3" t="inlineStr">
        <is>
          <t>DLFJ 200/WH</t>
        </is>
      </c>
      <c r="B880" s="2" t="inlineStr">
        <is>
          <t>Home DLFJ 200/WH LED-es fényfüggöny, 5 m / 200 db hidegfehér LED, állófényű, fehér vezeték, sorolható, kül- és beltéri kivitel</t>
        </is>
      </c>
      <c r="C880" s="1" t="n">
        <v>12190.0</v>
      </c>
      <c r="D880" s="7" t="n">
        <f>HYPERLINK("https://www.somogyi.hu/product/home-dlfj-200-wh-led-es-fenyfuggony-5-m-200-db-hidegfeher-led-allofenyu-feher-vezetek-sorolhato-kul-es-belteri-kivitel-dlfj-200-wh-14707","https://www.somogyi.hu/product/home-dlfj-200-wh-led-es-fenyfuggony-5-m-200-db-hidegfeher-led-allofenyu-feher-vezetek-sorolhato-kul-es-belteri-kivitel-dlfj-200-wh-14707")</f>
        <v>0.0</v>
      </c>
      <c r="E880" s="7" t="n">
        <f>HYPERLINK("https://www.somogyi.hu/data/img/product_main_images/small/14707.jpg","https://www.somogyi.hu/data/img/product_main_images/small/14707.jpg")</f>
        <v>0.0</v>
      </c>
      <c r="F880" s="2" t="inlineStr">
        <is>
          <t>5999084927493</t>
        </is>
      </c>
      <c r="G880" s="4" t="inlineStr">
        <is>
          <t>Idézze meg otthonában a kristályszínű jégcsapok szegélyezte téli tájak szépségét! A DLFJ 200/WH típusú egy LED-es, sorolható jégcsap fényfüggöny, amelynek segítségével könnyedén megalapozhatja a karácsonyi ünnepek meghitt, békés hangulatát.
A jégcsap fényfüggöny világítását összesen 200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81">
      <c r="A881" s="3" t="inlineStr">
        <is>
          <t>DLA 12W</t>
        </is>
      </c>
      <c r="B881" s="2" t="inlineStr">
        <is>
          <t>Home DLA 12W hálózati adapter fényfüzérekhez,  IP44, freccsenő víz ellen védett, kül- és beltéri kivitel, 31 V DC / 12 W</t>
        </is>
      </c>
      <c r="C881" s="1" t="n">
        <v>4290.0</v>
      </c>
      <c r="D881" s="7" t="n">
        <f>HYPERLINK("https://www.somogyi.hu/product/home-dla-12w-halozati-adapter-fenyfuzerekhez-ip44-freccseno-viz-ellen-vedett-kul-es-belteri-kivitel-31-v-dc-12-w-dla-12w-14640","https://www.somogyi.hu/product/home-dla-12w-halozati-adapter-fenyfuzerekhez-ip44-freccseno-viz-ellen-vedett-kul-es-belteri-kivitel-31-v-dc-12-w-dla-12w-14640")</f>
        <v>0.0</v>
      </c>
      <c r="E881" s="7" t="n">
        <f>HYPERLINK("https://www.somogyi.hu/data/img/product_main_images/small/14640.jpg","https://www.somogyi.hu/data/img/product_main_images/small/14640.jpg")</f>
        <v>0.0</v>
      </c>
      <c r="F881" s="2" t="inlineStr">
        <is>
          <t>5999084926823</t>
        </is>
      </c>
      <c r="G881" s="4" t="inlineStr">
        <is>
          <t>A DLA 12W típusú kül- és beltéri hálózati adapter csakis a Somogyi Elektronic által forgalmazott DLC 5M tápkábelhez csatlakoztatható.
A termék kültéren való biztonságos használatát az IP44-es kivitel biztosítja, amely egyben garantálja a freccsenő víz elleni védelmet is. Válassza a minőségi termékeket és rendeljen webáruházunkból!</t>
        </is>
      </c>
    </row>
    <row r="882">
      <c r="A882" s="3" t="inlineStr">
        <is>
          <t>DLC 5M</t>
        </is>
      </c>
      <c r="B882" s="2" t="inlineStr">
        <is>
          <t>Home DLC 5M adapter tápkábel / toldókábel, kül- és beltéri kivitel, IP44, freccsenő víz ellen védett, 5 méter</t>
        </is>
      </c>
      <c r="C882" s="1" t="n">
        <v>1350.0</v>
      </c>
      <c r="D882" s="7" t="n">
        <f>HYPERLINK("https://www.somogyi.hu/product/home-dlc-5m-adapter-tapkabel-toldokabel-kul-es-belteri-kivitel-ip44-freccseno-viz-ellen-vedett-5-meter-dlc-5m-14639","https://www.somogyi.hu/product/home-dlc-5m-adapter-tapkabel-toldokabel-kul-es-belteri-kivitel-ip44-freccseno-viz-ellen-vedett-5-meter-dlc-5m-14639")</f>
        <v>0.0</v>
      </c>
      <c r="E882" s="7" t="n">
        <f>HYPERLINK("https://www.somogyi.hu/data/img/product_main_images/small/14639.jpg","https://www.somogyi.hu/data/img/product_main_images/small/14639.jpg")</f>
        <v>0.0</v>
      </c>
      <c r="F882" s="2" t="inlineStr">
        <is>
          <t>5999084926816</t>
        </is>
      </c>
      <c r="G882" s="4" t="inlineStr">
        <is>
          <t>Egy igazán hosszú tápkábelt keres? Ez esetben az 5 méteres DLC 5M típusban garantáltan nem fog csalódni. A tápkábel/hosszabbító alkalmas a DLI, DLF, DLFJ termékcsalád, valamint a DLA 12 W hálózati adapter használatához is. Válassza a minőségi termékeket és rendeljen webáruházunkból!</t>
        </is>
      </c>
    </row>
    <row r="883">
      <c r="A883" s="3" t="inlineStr">
        <is>
          <t>DLF 400/WW</t>
        </is>
      </c>
      <c r="B883" s="2" t="inlineStr">
        <is>
          <t>Home DLF 400/WW LED-es fényfüggöny, 2x2 m / 400 db melegfehér LED, állófényű, fehér vezeték, sorolható, kül- és beltéri kivitel</t>
        </is>
      </c>
      <c r="C883" s="1" t="n">
        <v>15690.0</v>
      </c>
      <c r="D883" s="7" t="n">
        <f>HYPERLINK("https://www.somogyi.hu/product/home-dlf-400-ww-led-es-fenyfuggony-2x2-m-400-db-melegfeher-led-allofenyu-feher-vezetek-sorolhato-kul-es-belteri-kivitel-dlf-400-ww-14638","https://www.somogyi.hu/product/home-dlf-400-ww-led-es-fenyfuggony-2x2-m-400-db-melegfeher-led-allofenyu-feher-vezetek-sorolhato-kul-es-belteri-kivitel-dlf-400-ww-14638")</f>
        <v>0.0</v>
      </c>
      <c r="E883" s="7" t="n">
        <f>HYPERLINK("https://www.somogyi.hu/data/img/product_main_images/small/14638.jpg","https://www.somogyi.hu/data/img/product_main_images/small/14638.jpg")</f>
        <v>0.0</v>
      </c>
      <c r="F883" s="2" t="inlineStr">
        <is>
          <t>5999084926809</t>
        </is>
      </c>
      <c r="G883" s="4" t="inlineStr">
        <is>
          <t>Varázsoljon esküvőre vagy egyéb rendezvényre meghitt, ünnepi hangulatot. A DLF 400/WW típusú sorolható fényfüggöny mindehhez garantáltan ideális választás. A jeles események hangulatához illő fehér színű vezeték a klasszikus, állófényű égőkhöz csatlakozik. Az égők melegfehér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400/WW akár az esküvői rendezvények továbbá a karácsonyi dekorációk elengedhetetlen kelléke lesz. Válassza a minőségi termékeket és rendeljen webáruházunkból!</t>
        </is>
      </c>
    </row>
    <row r="884">
      <c r="A884" s="3" t="inlineStr">
        <is>
          <t>DLF 400/WH</t>
        </is>
      </c>
      <c r="B884" s="2" t="inlineStr">
        <is>
          <t>Home DLF 400/WH LED-es fényfüggöny, 2x2 m / 400 db hidegfehér LED, állófényű, fehér vezeték, sorolható, kül- és beltéri kivitel</t>
        </is>
      </c>
      <c r="C884" s="1" t="n">
        <v>15690.0</v>
      </c>
      <c r="D884" s="7" t="n">
        <f>HYPERLINK("https://www.somogyi.hu/product/home-dlf-400-wh-led-es-fenyfuggony-2x2-m-400-db-hidegfeher-led-allofenyu-feher-vezetek-sorolhato-kul-es-belteri-kivitel-dlf-400-wh-14637","https://www.somogyi.hu/product/home-dlf-400-wh-led-es-fenyfuggony-2x2-m-400-db-hidegfeher-led-allofenyu-feher-vezetek-sorolhato-kul-es-belteri-kivitel-dlf-400-wh-14637")</f>
        <v>0.0</v>
      </c>
      <c r="E884" s="7" t="n">
        <f>HYPERLINK("https://www.somogyi.hu/data/img/product_main_images/small/14637.jpg","https://www.somogyi.hu/data/img/product_main_images/small/14637.jpg")</f>
        <v>0.0</v>
      </c>
      <c r="F884" s="2" t="inlineStr">
        <is>
          <t>5999084926793</t>
        </is>
      </c>
      <c r="G884" s="4" t="inlineStr">
        <is>
          <t>Varázsoljon esküvőre vagy egyéb rendezvényre meghitt, ünnepi hangulatot. A DLF 400/WH típusú sorolható fényfüggöny mindehhez garantáltan ideális választás. A jeles események hangulatához illő fehér színű vezeték a klasszikus, állófényű égőkhöz csatlakozik. Az égők hidegfehér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400/WH akár az esküvői rendezvények továbbá a karácsonyi dekorációk elengedhetetlen kelléke lesz. Válassza a minőségi termékeket és rendeljen webáruházunkból!</t>
        </is>
      </c>
    </row>
    <row r="885">
      <c r="A885" s="6" t="inlineStr">
        <is>
          <t xml:space="preserve">   Karácsonyi dekorációs világítás / Fényfüzér</t>
        </is>
      </c>
      <c r="B885" s="6" t="inlineStr">
        <is>
          <t/>
        </is>
      </c>
      <c r="C885" s="6" t="inlineStr">
        <is>
          <t/>
        </is>
      </c>
      <c r="D885" s="6" t="inlineStr">
        <is>
          <t/>
        </is>
      </c>
      <c r="E885" s="6" t="inlineStr">
        <is>
          <t/>
        </is>
      </c>
      <c r="F885" s="6" t="inlineStr">
        <is>
          <t/>
        </is>
      </c>
      <c r="G885" s="6" t="inlineStr">
        <is>
          <t/>
        </is>
      </c>
    </row>
    <row r="886">
      <c r="A886" s="3" t="inlineStr">
        <is>
          <t>LED 208C/WH</t>
        </is>
      </c>
      <c r="B886" s="2" t="inlineStr">
        <is>
          <t>Home LED 208C/WH LED-es fényfüzér, 14 m / 200 db hidegfehér LED, 8 fényprogram, zöld vezeték, hálózati adapter, kül- és beltéri kivitel</t>
        </is>
      </c>
      <c r="C886" s="1" t="n">
        <v>10890.0</v>
      </c>
      <c r="D886" s="7" t="n">
        <f>HYPERLINK("https://www.somogyi.hu/product/home-led-208c-wh-led-es-fenyfuzer-14-m-200-db-hidegfeher-led-8-fenyprogram-zold-vezetek-halozati-adapter-kul-es-belteri-kivitel-led-208c-wh-15482","https://www.somogyi.hu/product/home-led-208c-wh-led-es-fenyfuzer-14-m-200-db-hidegfeher-led-8-fenyprogram-zold-vezetek-halozati-adapter-kul-es-belteri-kivitel-led-208c-wh-15482")</f>
        <v>0.0</v>
      </c>
      <c r="E886" s="7" t="n">
        <f>HYPERLINK("https://www.somogyi.hu/data/img/product_main_images/small/15482.jpg","https://www.somogyi.hu/data/img/product_main_images/small/15482.jpg")</f>
        <v>0.0</v>
      </c>
      <c r="F886" s="2" t="inlineStr">
        <is>
          <t>5999084935160</t>
        </is>
      </c>
      <c r="G886" s="4" t="inlineStr">
        <is>
          <t>Szeretne meghitt hangulatot teremteni otthonában egyedi fényekkel? A LED 208C/WH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hidegfehér LED ragyogása érvényesül. A kültéri IP44-es hálózati adapter pedig gondoskodik az állandó és biztonságos működésről.
Hozza közelebb a csillogó estéket otthonába a LED 208C/WH fényfüzérrel!</t>
        </is>
      </c>
    </row>
    <row r="887">
      <c r="A887" s="3" t="inlineStr">
        <is>
          <t>ML 80/WW</t>
        </is>
      </c>
      <c r="B887" s="2" t="inlineStr">
        <is>
          <t>Home ML 80/WW micro LED-es fényfüzér, 7,9 m / 80 db melegfehér micro LED, állófényű, vékony vezeték, hálózati adapter, kül- és beltéri kivitel</t>
        </is>
      </c>
      <c r="C887" s="1" t="n">
        <v>4090.0</v>
      </c>
      <c r="D887" s="7" t="n">
        <f>HYPERLINK("https://www.somogyi.hu/product/home-ml-80-ww-micro-led-es-fenyfuzer-7-9-m-80-db-melegfeher-micro-led-allofenyu-vekony-vezetek-halozati-adapter-kul-es-belteri-kivitel-ml-80-ww-13452","https://www.somogyi.hu/product/home-ml-80-ww-micro-led-es-fenyfuzer-7-9-m-80-db-melegfeher-micro-led-allofenyu-vekony-vezetek-halozati-adapter-kul-es-belteri-kivitel-ml-80-ww-13452")</f>
        <v>0.0</v>
      </c>
      <c r="E887" s="7" t="n">
        <f>HYPERLINK("https://www.somogyi.hu/data/img/product_main_images/small/13452.jpg","https://www.somogyi.hu/data/img/product_main_images/small/13452.jpg")</f>
        <v>0.0</v>
      </c>
      <c r="F887" s="2" t="inlineStr">
        <is>
          <t>5999084915384</t>
        </is>
      </c>
      <c r="G887" s="4" t="inlineStr">
        <is>
          <t>A karácsonyi ünnepek egyik legszebb ékessége a karácsonyfa, amelyet általában szeretteinkkel együtt közösen díszítünk fel. Az 7,9 méter hosszúságú ML 80/WW típusú micro LED-es fényfüzérköteg alkalmas a kül- és beltéri fenyők díszítésére. A pontszerű micro LED, fényesen ragyogó, varázslatos hatást kölcsönöz az ünnepekre. A termék melegfehér színű világítását összesen 80 db LED biztosítja. Válassza Ön is a minőségi termékeket és rendeljen webáruházunkból.</t>
        </is>
      </c>
    </row>
    <row r="888">
      <c r="A888" s="3" t="inlineStr">
        <is>
          <t>ML 120/WW</t>
        </is>
      </c>
      <c r="B888" s="2" t="inlineStr">
        <is>
          <t>Home ML 120/WW micro LED-es fényfüzér-köteg, 120 db melegfehér micro LED, 6 ágú, vékony, ezüstszínű vezeték, hálózati adapter, kül- és beltéri kivitel</t>
        </is>
      </c>
      <c r="C888" s="1" t="n">
        <v>4690.0</v>
      </c>
      <c r="D888" s="7" t="n">
        <f>HYPERLINK("https://www.somogyi.hu/product/home-ml-120-ww-micro-led-es-fenyfuzer-koteg-120-db-melegfeher-micro-led-6-agu-vekony-ezustszinu-vezetek-halozati-adapter-kul-es-belteri-kivitel-ml-120-ww-13453","https://www.somogyi.hu/product/home-ml-120-ww-micro-led-es-fenyfuzer-koteg-120-db-melegfeher-micro-led-6-agu-vekony-ezustszinu-vezetek-halozati-adapter-kul-es-belteri-kivitel-ml-120-ww-13453")</f>
        <v>0.0</v>
      </c>
      <c r="E888" s="7" t="n">
        <f>HYPERLINK("https://www.somogyi.hu/data/img/product_main_images/small/13453.jpg","https://www.somogyi.hu/data/img/product_main_images/small/13453.jpg")</f>
        <v>0.0</v>
      </c>
      <c r="F888" s="2" t="inlineStr">
        <is>
          <t>5999084915391</t>
        </is>
      </c>
      <c r="G888" s="4" t="inlineStr">
        <is>
          <t>A karácsonyi ünnepek egyik legszebb ékessége a karácsonyfa, amelyet általában szeretteinkkel együtt közösen díszítünk fel. Az 1,9 méter hosszúságú ML 120/WW típusú micro LED-es fényfüzérköteg alkalmas a kül- és beltéri fenyők díszítésére. A pontszerű micro LED, fényesen ragyogó, varázslatos hatást kölcsönöz az ünnepekre. A termék melegfehér színű világítását összesen 120 db LED biztosítja, amelyek hat ágra van felosztva. Válassza Ön is a minőségi termékeket és rendeljen webáruházunkból.</t>
        </is>
      </c>
    </row>
    <row r="889">
      <c r="A889" s="3" t="inlineStr">
        <is>
          <t>ML 150/WW</t>
        </is>
      </c>
      <c r="B889" s="2" t="inlineStr">
        <is>
          <t>Home ML 150/WW micro LED-es fényfüzér-köteg, 150 db melegfehér micro LED, 6 ágú, vékony, ezüstszínű vezeték, hálózati adapter, kül- és beltéri kivitel</t>
        </is>
      </c>
      <c r="C889" s="1" t="n">
        <v>5390.0</v>
      </c>
      <c r="D889" s="7" t="n">
        <f>HYPERLINK("https://www.somogyi.hu/product/home-ml-150-ww-micro-led-es-fenyfuzer-koteg-150-db-melegfeher-micro-led-6-agu-vekony-ezustszinu-vezetek-halozati-adapter-kul-es-belteri-kivitel-ml-150-ww-14002","https://www.somogyi.hu/product/home-ml-150-ww-micro-led-es-fenyfuzer-koteg-150-db-melegfeher-micro-led-6-agu-vekony-ezustszinu-vezetek-halozati-adapter-kul-es-belteri-kivitel-ml-150-ww-14002")</f>
        <v>0.0</v>
      </c>
      <c r="E889" s="7" t="n">
        <f>HYPERLINK("https://www.somogyi.hu/data/img/product_main_images/small/14002.jpg","https://www.somogyi.hu/data/img/product_main_images/small/14002.jpg")</f>
        <v>0.0</v>
      </c>
      <c r="F889" s="2" t="inlineStr">
        <is>
          <t>5999084920548</t>
        </is>
      </c>
      <c r="G889" s="4" t="inlineStr">
        <is>
          <t>A karácsonyi ünnepek egyik legszebb ékessége a karácsonyfa, amelyet általában szeretteinkkel együtt közösen díszítünk fel. A 2,4 méter hosszúságú ML 150/WW típusú micro LED-es fényfüzérköteg alkalmas a kül- és beltéri fenyők díszítésére. A pontszerű micro LED, fényesen ragyogó, varázslatos hatást kölcsönöz az ünnepekre. A termék melegfehér színű világítását összesen 150 db LED biztosítja, amelyek hat ágra van felosztva. Válassza Ön is a minőségi termékeket és rendeljen webáruházunkból.</t>
        </is>
      </c>
    </row>
    <row r="890">
      <c r="A890" s="3" t="inlineStr">
        <is>
          <t>ML 200/WW</t>
        </is>
      </c>
      <c r="B890" s="2" t="inlineStr">
        <is>
          <t>Home ML 200/WW micro LED-es fényfüzér-köteg, 200 db melegfehér micro LED, 10 ágú, vékony, ezüstszínű vezeték, hálózati adapter, kül- és beltéri kivitel</t>
        </is>
      </c>
      <c r="C890" s="1" t="n">
        <v>6090.0</v>
      </c>
      <c r="D890" s="7" t="n">
        <f>HYPERLINK("https://www.somogyi.hu/product/home-ml-200-ww-micro-led-es-fenyfuzer-koteg-200-db-melegfeher-micro-led-10-agu-vekony-ezustszinu-vezetek-halozati-adapter-kul-es-belteri-kivitel-ml-200-ww-14003","https://www.somogyi.hu/product/home-ml-200-ww-micro-led-es-fenyfuzer-koteg-200-db-melegfeher-micro-led-10-agu-vekony-ezustszinu-vezetek-halozati-adapter-kul-es-belteri-kivitel-ml-200-ww-14003")</f>
        <v>0.0</v>
      </c>
      <c r="E890" s="7" t="n">
        <f>HYPERLINK("https://www.somogyi.hu/data/img/product_main_images/small/14003.jpg","https://www.somogyi.hu/data/img/product_main_images/small/14003.jpg")</f>
        <v>0.0</v>
      </c>
      <c r="F890" s="2" t="inlineStr">
        <is>
          <t>5999084920555</t>
        </is>
      </c>
      <c r="G890" s="4" t="inlineStr">
        <is>
          <t>A karácsonyi ünnepek egyik legszebb ékessége a karácsonyfa, amelyet általában szeretteinkkel együtt közösen díszítünk fel. Az 1,9 méter hosszúságú ML 200/WW típusú micro LED-es fényfüzérköteg alkalmas a kül- és beltéri fenyők díszítésére. A pontszerű micro LED, fényesen ragyogó, varázslatos hatást kölcsönöz az ünnepekre. A termék melegfehér színű világítását összesen 200 db LED biztosítja, amelyek 10 ágra van felosztva. Válassza Ön is a minőségi termékeket és rendeljen webáruházunkból.</t>
        </is>
      </c>
    </row>
    <row r="891">
      <c r="A891" s="3" t="inlineStr">
        <is>
          <t>ML 20/WW</t>
        </is>
      </c>
      <c r="B891" s="2" t="inlineStr">
        <is>
          <t>Home ML 20/WW micro LED-es fényfüzér, 1,9 m / 20 db melegfehér micro LED, állófényű, átlátszó vezeték, elemes, beltéri kivitel</t>
        </is>
      </c>
      <c r="C891" s="1" t="n">
        <v>889.0</v>
      </c>
      <c r="D891" s="7" t="n">
        <f>HYPERLINK("https://www.somogyi.hu/product/home-ml-20-ww-micro-led-es-fenyfuzer-1-9-m-20-db-melegfeher-micro-led-allofenyu-atlatszo-vezetek-elemes-belteri-kivitel-ml-20-ww-14718","https://www.somogyi.hu/product/home-ml-20-ww-micro-led-es-fenyfuzer-1-9-m-20-db-melegfeher-micro-led-allofenyu-atlatszo-vezetek-elemes-belteri-kivitel-ml-20-ww-14718")</f>
        <v>0.0</v>
      </c>
      <c r="E891" s="7" t="n">
        <f>HYPERLINK("https://www.somogyi.hu/data/img/product_main_images/small/14718.jpg","https://www.somogyi.hu/data/img/product_main_images/small/14718.jpg")</f>
        <v>0.0</v>
      </c>
      <c r="F891" s="2" t="inlineStr">
        <is>
          <t>5999084927608</t>
        </is>
      </c>
      <c r="G891" s="4" t="inlineStr">
        <is>
          <t>Akár egy romantikus vacsora, akár egy pihentető esti lazulás, a megfelelő világítás mindig kulcsfontosságú.
Az ML 20/WW pont ezt kínálja: egy beltéri fényfüzér 20 db melegfehér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20/WW fényfüzérrel, és élvezze a melegfehér micro-LED-ek által teremtett csodálatos atmoszférát!</t>
        </is>
      </c>
    </row>
    <row r="892">
      <c r="A892" s="3" t="inlineStr">
        <is>
          <t>ML 50/WW</t>
        </is>
      </c>
      <c r="B892" s="2" t="inlineStr">
        <is>
          <t>Home ML 50/WW micro LED-es fényfüzér, 4,9 m / 50 db melegfehér micro LED, állófényű, kapcsolható és időzíthető, átlátszó vezeték, elemes, beltéri kivitel</t>
        </is>
      </c>
      <c r="C892" s="1" t="n">
        <v>1450.0</v>
      </c>
      <c r="D892" s="7" t="n">
        <f>HYPERLINK("https://www.somogyi.hu/product/home-ml-50-ww-micro-led-es-fenyfuzer-4-9-m-50-db-melegfeher-micro-led-allofenyu-kapcsolhato-es-idozitheto-atlatszo-vezetek-elemes-belteri-kivitel-ml-50-ww-14719","https://www.somogyi.hu/product/home-ml-50-ww-micro-led-es-fenyfuzer-4-9-m-50-db-melegfeher-micro-led-allofenyu-kapcsolhato-es-idozitheto-atlatszo-vezetek-elemes-belteri-kivitel-ml-50-ww-14719")</f>
        <v>0.0</v>
      </c>
      <c r="E892" s="7" t="n">
        <f>HYPERLINK("https://www.somogyi.hu/data/img/product_main_images/small/14719.jpg","https://www.somogyi.hu/data/img/product_main_images/small/14719.jpg")</f>
        <v>0.0</v>
      </c>
      <c r="F892" s="2" t="inlineStr">
        <is>
          <t>5999084927615</t>
        </is>
      </c>
      <c r="G892" s="4" t="inlineStr">
        <is>
          <t>Akár egy romantikus vacsora, akár egy pihentető esti lazulás, a megfelelő világítás mindig kulcsfontosságú.
Az ML 50/WW pont ezt kínálja: egy beltéri fényfüzér 50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50/WW fényfüzérrel, és élvezze a melegfehér micro-LED-ek által teremtett csodálatos atmoszférát!</t>
        </is>
      </c>
    </row>
    <row r="893">
      <c r="A893" s="3" t="inlineStr">
        <is>
          <t>ML 80/WH</t>
        </is>
      </c>
      <c r="B893" s="2" t="inlineStr">
        <is>
          <t>Home ML 80/WH micro LED-es fényfüzér, 7,9 m / 80 db hidegfehér micro LED, állófényű, vékony vezeték, hálózati adapter, kül- és beltéri kivitel</t>
        </is>
      </c>
      <c r="C893" s="1" t="n">
        <v>4090.0</v>
      </c>
      <c r="D893" s="7" t="n">
        <f>HYPERLINK("https://www.somogyi.hu/product/home-ml-80-wh-micro-led-es-fenyfuzer-7-9-m-80-db-hidegfeher-micro-led-allofenyu-vekony-vezetek-halozati-adapter-kul-es-belteri-kivitel-ml-80-wh-14720","https://www.somogyi.hu/product/home-ml-80-wh-micro-led-es-fenyfuzer-7-9-m-80-db-hidegfeher-micro-led-allofenyu-vekony-vezetek-halozati-adapter-kul-es-belteri-kivitel-ml-80-wh-14720")</f>
        <v>0.0</v>
      </c>
      <c r="E893" s="7" t="n">
        <f>HYPERLINK("https://www.somogyi.hu/data/img/product_main_images/small/14720.jpg","https://www.somogyi.hu/data/img/product_main_images/small/14720.jpg")</f>
        <v>0.0</v>
      </c>
      <c r="F893" s="2" t="inlineStr">
        <is>
          <t>5999084927622</t>
        </is>
      </c>
      <c r="G893" s="4" t="inlineStr">
        <is>
          <t>A karácsonyi ünnepek egyik legszebb ékessége a karácsonyfa, amelyet általában szeretteinkkel együtt közösen díszítünk fel. Az 7,9 méter hosszúságú ML 80/WH típusú micro LED-es fényfüzérköteg alkalmas a kül- és beltéri fenyők díszítésére. A pontszerű micro LED, fényesen ragyogó, varázslatos hatást kölcsönöz az ünnepekre. A termék hidegfehér színű világítását összesen 80 db LED biztosítja. Válassza Ön is a minőségi termékeket és rendeljen webáruházunkból.</t>
        </is>
      </c>
    </row>
    <row r="894">
      <c r="A894" s="3" t="inlineStr">
        <is>
          <t>ML 200/WH</t>
        </is>
      </c>
      <c r="B894" s="2" t="inlineStr">
        <is>
          <t>Home ML 200/WH micro LED-es fényfüzér-köteg, 200 db hidegfehér micro LED, 10 ágú, vékony, ezüstszínű vezeték, hálózati adapter, kül- és beltéri kivitel</t>
        </is>
      </c>
      <c r="C894" s="1" t="n">
        <v>6090.0</v>
      </c>
      <c r="D894" s="7" t="n">
        <f>HYPERLINK("https://www.somogyi.hu/product/home-ml-200-wh-micro-led-es-fenyfuzer-koteg-200-db-hidegfeher-micro-led-10-agu-vekony-ezustszinu-vezetek-halozati-adapter-kul-es-belteri-kivitel-ml-200-wh-14721","https://www.somogyi.hu/product/home-ml-200-wh-micro-led-es-fenyfuzer-koteg-200-db-hidegfeher-micro-led-10-agu-vekony-ezustszinu-vezetek-halozati-adapter-kul-es-belteri-kivitel-ml-200-wh-14721")</f>
        <v>0.0</v>
      </c>
      <c r="E894" s="7" t="n">
        <f>HYPERLINK("https://www.somogyi.hu/data/img/product_main_images/small/14721.jpg","https://www.somogyi.hu/data/img/product_main_images/small/14721.jpg")</f>
        <v>0.0</v>
      </c>
      <c r="F894" s="2" t="inlineStr">
        <is>
          <t>5999084927639</t>
        </is>
      </c>
      <c r="G894" s="4" t="inlineStr">
        <is>
          <t>A karácsonyi ünnepek egyik legszebb ékessége a karácsonyfa, amelyet általában szeretteinkkel együtt közösen díszítünk fel. Az 1,9 méter hosszúságú ML 200/WH típusú micro LED-es fényfüzérköteg alkalmas a kül- és beltéri fenyők díszítésére. A pontszerű micro LED, fényesen ragyogó, varázslatos hatást kölcsönöz az ünnepekre. A termék hidegfehér színű világítását összesen 200 db LED biztosítja, amelyek 10 ágra van felosztva. Válassza Ön is a minőségi termékeket és rendeljen webáruházunkból.</t>
        </is>
      </c>
    </row>
    <row r="895">
      <c r="A895" s="3" t="inlineStr">
        <is>
          <t>MLC 58/WH</t>
        </is>
      </c>
      <c r="B895" s="2" t="inlineStr">
        <is>
          <t>Home MLC 58/WH mini LED-es fényfüzér, 4,9 m / 50 db hidegfehér LED, 8 fényprogram, zöld vezeték, elemes, kül- és beltéri kivitel</t>
        </is>
      </c>
      <c r="C895" s="1" t="n">
        <v>3690.0</v>
      </c>
      <c r="D895" s="7" t="n">
        <f>HYPERLINK("https://www.somogyi.hu/product/home-mlc-58-wh-mini-led-es-fenyfuzer-4-9-m-50-db-hidegfeher-led-8-fenyprogram-zold-vezetek-elemes-kul-es-belteri-kivitel-mlc-58-wh-14845","https://www.somogyi.hu/product/home-mlc-58-wh-mini-led-es-fenyfuzer-4-9-m-50-db-hidegfeher-led-8-fenyprogram-zold-vezetek-elemes-kul-es-belteri-kivitel-mlc-58-wh-14845")</f>
        <v>0.0</v>
      </c>
      <c r="E895" s="7" t="n">
        <f>HYPERLINK("https://www.somogyi.hu/data/img/product_main_images/small/14845.jpg","https://www.somogyi.hu/data/img/product_main_images/small/14845.jpg")</f>
        <v>0.0</v>
      </c>
      <c r="F895" s="2" t="inlineStr">
        <is>
          <t>5999084928827</t>
        </is>
      </c>
      <c r="G895" s="4" t="inlineStr">
        <is>
          <t>Szeretné megteremteni a tökéletes hangulatot otthonában vagy kertjében? Az MLC 58/WH fényfüzérrel ez egyszerűbb, mint valaha!
Ez a kül- és beltéri kivitelű fényfüzér 50 db hidegfehér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hangulatot otthonához az MLC 58/WH fényfüzérrel!</t>
        </is>
      </c>
    </row>
    <row r="896">
      <c r="A896" s="3" t="inlineStr">
        <is>
          <t>MLC 58/WW</t>
        </is>
      </c>
      <c r="B896" s="2" t="inlineStr">
        <is>
          <t>Home MLC 58/WW mini LED-es fényfüzér, 4,9 m / 50 db melegfehér LED, 8 fényprogram, zöld vezeték, elemes, kül- és beltéri kivitel</t>
        </is>
      </c>
      <c r="C896" s="1" t="n">
        <v>3690.0</v>
      </c>
      <c r="D896" s="7" t="n">
        <f>HYPERLINK("https://www.somogyi.hu/product/home-mlc-58-ww-mini-led-es-fenyfuzer-4-9-m-50-db-melegfeher-led-8-fenyprogram-zold-vezetek-elemes-kul-es-belteri-kivitel-mlc-58-ww-15004","https://www.somogyi.hu/product/home-mlc-58-ww-mini-led-es-fenyfuzer-4-9-m-50-db-melegfeher-led-8-fenyprogram-zold-vezetek-elemes-kul-es-belteri-kivitel-mlc-58-ww-15004")</f>
        <v>0.0</v>
      </c>
      <c r="E896" s="7" t="n">
        <f>HYPERLINK("https://www.somogyi.hu/data/img/product_main_images/small/15004.jpg","https://www.somogyi.hu/data/img/product_main_images/small/15004.jpg")</f>
        <v>0.0</v>
      </c>
      <c r="F896" s="2" t="inlineStr">
        <is>
          <t>5999084930387</t>
        </is>
      </c>
      <c r="G896" s="4" t="inlineStr">
        <is>
          <t>Szeretné megteremteni a tökéletes hangulatot otthonában vagy kertjében? Az MLC 58/WW fényfüzérrel ez egyszerűbb, mint valaha!
Ez a kül- és beltéri kivitelű fényfüzér 50 db melegfehér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58/WW fényfüzérrel!</t>
        </is>
      </c>
    </row>
    <row r="897">
      <c r="A897" s="3" t="inlineStr">
        <is>
          <t>KKL 500C/WW</t>
        </is>
      </c>
      <c r="B897" s="2" t="inlineStr">
        <is>
          <t>Home KKL 500C/WW LED-es fényfüzér, 35 m / 500 db melegfehér LED, állófényű, zöld vezeték, hálózati adapter, kül- és beltéri kivitel</t>
        </is>
      </c>
      <c r="C897" s="1" t="n">
        <v>14990.0</v>
      </c>
      <c r="D897" s="7" t="n">
        <f>HYPERLINK("https://www.somogyi.hu/product/home-kkl-500c-ww-led-es-fenyfuzer-35-m-500-db-melegfeher-led-allofenyu-zold-vezetek-halozati-adapter-kul-es-belteri-kivitel-kkl-500c-ww-15476","https://www.somogyi.hu/product/home-kkl-500c-ww-led-es-fenyfuzer-35-m-500-db-melegfeher-led-allofenyu-zold-vezetek-halozati-adapter-kul-es-belteri-kivitel-kkl-500c-ww-15476")</f>
        <v>0.0</v>
      </c>
      <c r="E897" s="7" t="n">
        <f>HYPERLINK("https://www.somogyi.hu/data/img/product_main_images/small/15476.jpg","https://www.somogyi.hu/data/img/product_main_images/small/15476.jpg")</f>
        <v>0.0</v>
      </c>
      <c r="F897" s="2" t="inlineStr">
        <is>
          <t>5999084935108</t>
        </is>
      </c>
      <c r="G897" s="4" t="inlineStr">
        <is>
          <t>Sokoldalú fényforrást keres, ami bevilágíthatja otthona minden szegletét? A KKL 500C/WW fényfüzér a tökéletes választás!
Legyen szó kerti partiról vagy otthoni meghitt estékről, ez a termék mind kinti, mind benti használatra ideális. 
Az 500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500C/WW fényfüzérrel!</t>
        </is>
      </c>
    </row>
    <row r="898">
      <c r="A898" s="3" t="inlineStr">
        <is>
          <t>LED 108C/M</t>
        </is>
      </c>
      <c r="B898" s="2" t="inlineStr">
        <is>
          <t>Home LED 108C/M LED-es fényfüzér, 7 m / 100 db színes LED, 8 fényprogram, zöld vezeték, hálózati adapter, kül- és beltéri kivitel</t>
        </is>
      </c>
      <c r="C898" s="1" t="n">
        <v>7990.0</v>
      </c>
      <c r="D898" s="7" t="n">
        <f>HYPERLINK("https://www.somogyi.hu/product/home-led-108c-m-led-es-fenyfuzer-7-m-100-db-szines-led-8-fenyprogram-zold-vezetek-halozati-adapter-kul-es-belteri-kivitel-led-108c-m-15478","https://www.somogyi.hu/product/home-led-108c-m-led-es-fenyfuzer-7-m-100-db-szines-led-8-fenyprogram-zold-vezetek-halozati-adapter-kul-es-belteri-kivitel-led-108c-m-15478")</f>
        <v>0.0</v>
      </c>
      <c r="E898" s="7" t="n">
        <f>HYPERLINK("https://www.somogyi.hu/data/img/product_main_images/small/15478.jpg","https://www.somogyi.hu/data/img/product_main_images/small/15478.jpg")</f>
        <v>0.0</v>
      </c>
      <c r="F898" s="2" t="inlineStr">
        <is>
          <t>5999084935122</t>
        </is>
      </c>
      <c r="G898" s="4" t="inlineStr">
        <is>
          <t>Szeretne meghitt hangulatot teremteni otthonában egyedi fényekkel? A LED 108C/M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színes LED ragyogása érvényesül. A kültéri IP44-es hálózati adapter pedig gondoskodik az állandó és biztonságos működésről.
Hozza közelebb a csillogó estéket otthonába a LED 108C/M fényfüzérrel!</t>
        </is>
      </c>
    </row>
    <row r="899">
      <c r="A899" s="3" t="inlineStr">
        <is>
          <t>LED 108C/WH</t>
        </is>
      </c>
      <c r="B899" s="2" t="inlineStr">
        <is>
          <t>Home LED 108C/WH LED-es fényfüzér, 7 m / 100 db hidegfehér LED, 8 fényprogram, zöld vezeték, hálózati adapter, kül- és beltéri kivitel</t>
        </is>
      </c>
      <c r="C899" s="1" t="n">
        <v>7990.0</v>
      </c>
      <c r="D899" s="7" t="n">
        <f>HYPERLINK("https://www.somogyi.hu/product/home-led-108c-wh-led-es-fenyfuzer-7-m-100-db-hidegfeher-led-8-fenyprogram-zold-vezetek-halozati-adapter-kul-es-belteri-kivitel-led-108c-wh-15479","https://www.somogyi.hu/product/home-led-108c-wh-led-es-fenyfuzer-7-m-100-db-hidegfeher-led-8-fenyprogram-zold-vezetek-halozati-adapter-kul-es-belteri-kivitel-led-108c-wh-15479")</f>
        <v>0.0</v>
      </c>
      <c r="E899" s="7" t="n">
        <f>HYPERLINK("https://www.somogyi.hu/data/img/product_main_images/small/15479.jpg","https://www.somogyi.hu/data/img/product_main_images/small/15479.jpg")</f>
        <v>0.0</v>
      </c>
      <c r="F899" s="2" t="inlineStr">
        <is>
          <t>5999084935139</t>
        </is>
      </c>
      <c r="G899" s="4" t="inlineStr">
        <is>
          <t>Szeretne meghitt hangulatot teremteni otthonában egyedi fényekkel? A LED 108C/WH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hidegfehér LED ragyogása érvényesül. A kültéri IP44-es hálózati adapter pedig gondoskodik az állandó és biztonságos működésről.
Hozza közelebb a csillogó estéket otthonába a LED 108C/WH fényfüzérrel!</t>
        </is>
      </c>
    </row>
    <row r="900">
      <c r="A900" s="3" t="inlineStr">
        <is>
          <t>LED 108C/WW</t>
        </is>
      </c>
      <c r="B900" s="2" t="inlineStr">
        <is>
          <t>Home LED 108C/WW LED-es fényfüzér, 7 m / 100 db melegfehér LED, 8 fényprogram, zöld vezeték, hálózati adapter, kül- és beltéri kivitel</t>
        </is>
      </c>
      <c r="C900" s="1" t="n">
        <v>7990.0</v>
      </c>
      <c r="D900" s="7" t="n">
        <f>HYPERLINK("https://www.somogyi.hu/product/home-led-108c-ww-led-es-fenyfuzer-7-m-100-db-melegfeher-led-8-fenyprogram-zold-vezetek-halozati-adapter-kul-es-belteri-kivitel-led-108c-ww-15480","https://www.somogyi.hu/product/home-led-108c-ww-led-es-fenyfuzer-7-m-100-db-melegfeher-led-8-fenyprogram-zold-vezetek-halozati-adapter-kul-es-belteri-kivitel-led-108c-ww-15480")</f>
        <v>0.0</v>
      </c>
      <c r="E900" s="7" t="n">
        <f>HYPERLINK("https://www.somogyi.hu/data/img/product_main_images/small/15480.jpg","https://www.somogyi.hu/data/img/product_main_images/small/15480.jpg")</f>
        <v>0.0</v>
      </c>
      <c r="F900" s="2" t="inlineStr">
        <is>
          <t>5999084935146</t>
        </is>
      </c>
      <c r="G900" s="4" t="inlineStr">
        <is>
          <t>Szeretne meghitt hangulatot teremteni otthonában egyedi fényekkel? A LED 108C/WW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melegfehér LED ragyogása érvényesül. A kültéri IP44-es hálózati adapter pedig gondoskodik az állandó és biztonságos működésről.
Hozza közelebb a csillogó estéket otthonába a LED 108C/WW fényfüzérrel!</t>
        </is>
      </c>
    </row>
    <row r="901">
      <c r="A901" s="3" t="inlineStr">
        <is>
          <t>LED 208C/M</t>
        </is>
      </c>
      <c r="B901" s="2" t="inlineStr">
        <is>
          <t>Home LED 208C/M LED-es fényfüzér, 14 m / 200 db színes LED, 8 fényprogram, zöld vezeték, hálózati adapter, kül- és beltéri kivitel</t>
        </is>
      </c>
      <c r="C901" s="1" t="n">
        <v>10890.0</v>
      </c>
      <c r="D901" s="7" t="n">
        <f>HYPERLINK("https://www.somogyi.hu/product/home-led-208c-m-led-es-fenyfuzer-14-m-200-db-szines-led-8-fenyprogram-zold-vezetek-halozati-adapter-kul-es-belteri-kivitel-led-208c-m-15481","https://www.somogyi.hu/product/home-led-208c-m-led-es-fenyfuzer-14-m-200-db-szines-led-8-fenyprogram-zold-vezetek-halozati-adapter-kul-es-belteri-kivitel-led-208c-m-15481")</f>
        <v>0.0</v>
      </c>
      <c r="E901" s="7" t="n">
        <f>HYPERLINK("https://www.somogyi.hu/data/img/product_main_images/small/15481.jpg","https://www.somogyi.hu/data/img/product_main_images/small/15481.jpg")</f>
        <v>0.0</v>
      </c>
      <c r="F901" s="2" t="inlineStr">
        <is>
          <t>5999084935153</t>
        </is>
      </c>
      <c r="G901" s="4" t="inlineStr">
        <is>
          <t>Szeretne meghitt hangulatot teremteni otthonában egyedi fényekkel? A LED 208C/M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színes LED ragyogása érvényesül. A kültéri IP44-es hálózati adapter pedig gondoskodik az állandó és biztonságos működésről.
Hozza közelebb a csillogó estéket otthonába a LED 208C/M fényfüzérrel!</t>
        </is>
      </c>
    </row>
    <row r="902">
      <c r="A902" s="3" t="inlineStr">
        <is>
          <t>LED 208C/WW</t>
        </is>
      </c>
      <c r="B902" s="2" t="inlineStr">
        <is>
          <t>Home LED 208C/WW LED-es fényfüzér, 14 m / 200 db melegfehér LED, 8 fényprogram, zöld vezeték, hálózati adapter, kül- és beltéri kivitel</t>
        </is>
      </c>
      <c r="C902" s="1" t="n">
        <v>10890.0</v>
      </c>
      <c r="D902" s="7" t="n">
        <f>HYPERLINK("https://www.somogyi.hu/product/home-led-208c-ww-led-es-fenyfuzer-14-m-200-db-melegfeher-led-8-fenyprogram-zold-vezetek-halozati-adapter-kul-es-belteri-kivitel-led-208c-ww-15483","https://www.somogyi.hu/product/home-led-208c-ww-led-es-fenyfuzer-14-m-200-db-melegfeher-led-8-fenyprogram-zold-vezetek-halozati-adapter-kul-es-belteri-kivitel-led-208c-ww-15483")</f>
        <v>0.0</v>
      </c>
      <c r="E902" s="7" t="n">
        <f>HYPERLINK("https://www.somogyi.hu/data/img/product_main_images/small/15483.jpg","https://www.somogyi.hu/data/img/product_main_images/small/15483.jpg")</f>
        <v>0.0</v>
      </c>
      <c r="F902" s="2" t="inlineStr">
        <is>
          <t>5999084935177</t>
        </is>
      </c>
      <c r="G902" s="4" t="inlineStr">
        <is>
          <t>Szeretne meghitt hangulatot teremteni otthonában egyedi fényekkel? A LED 208C/WW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melegfehér LED ragyogása érvényesül. A kültéri IP44-es hálózati adapter pedig gondoskodik az állandó és biztonságos működésről.
Hozza közelebb a csillogó estéket otthonába a LED 208C/WW fényfüzérrel!</t>
        </is>
      </c>
    </row>
    <row r="903">
      <c r="A903" s="3" t="inlineStr">
        <is>
          <t>KKL 1000C/WH</t>
        </is>
      </c>
      <c r="B903" s="2" t="inlineStr">
        <is>
          <t>Home KKL 1000C/WH LED-es fényfüzér, 70 m / 1000 db hidegfehér LED, állófényű, zöld vezeték, hálózati adapter, kül- és beltéri kivitel</t>
        </is>
      </c>
      <c r="C903" s="1" t="n">
        <v>28190.0</v>
      </c>
      <c r="D903" s="7" t="n">
        <f>HYPERLINK("https://www.somogyi.hu/product/home-kkl-1000c-wh-led-es-fenyfuzer-70-m-1000-db-hidegfeher-led-allofenyu-zold-vezetek-halozati-adapter-kul-es-belteri-kivitel-kkl-1000c-wh-15580","https://www.somogyi.hu/product/home-kkl-1000c-wh-led-es-fenyfuzer-70-m-1000-db-hidegfeher-led-allofenyu-zold-vezetek-halozati-adapter-kul-es-belteri-kivitel-kkl-1000c-wh-15580")</f>
        <v>0.0</v>
      </c>
      <c r="E903" s="7" t="n">
        <f>HYPERLINK("https://www.somogyi.hu/data/img/product_main_images/small/15580.jpg","https://www.somogyi.hu/data/img/product_main_images/small/15580.jpg")</f>
        <v>0.0</v>
      </c>
      <c r="F903" s="2" t="inlineStr">
        <is>
          <t>5999084936143</t>
        </is>
      </c>
      <c r="G903" s="4" t="inlineStr">
        <is>
          <t>Sokoldalú fényforrást keres, ami bevilágíthatja otthona minden szegletét? A KKL 1000C/WH fényfüzér a tökéletes választás!
Legyen szó kerti partiról vagy otthoni meghitt estékről, ez a termék mind kinti, mind benti használatra ideális. 
Az 1000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1000C/WH fényfüzérrel!</t>
        </is>
      </c>
    </row>
    <row r="904">
      <c r="A904" s="3" t="inlineStr">
        <is>
          <t>KKL 1000C/WW</t>
        </is>
      </c>
      <c r="B904" s="2" t="inlineStr">
        <is>
          <t>Home KKL 1000C/WW LED-es fényfüzér, 70 m / 1000 db melegfehér LED, állófényű, zöld vezeték, hálózati adapter, kül- és beltéri kivitel</t>
        </is>
      </c>
      <c r="C904" s="1" t="n">
        <v>28190.0</v>
      </c>
      <c r="D904" s="7" t="n">
        <f>HYPERLINK("https://www.somogyi.hu/product/home-kkl-1000c-ww-led-es-fenyfuzer-70-m-1000-db-melegfeher-led-allofenyu-zold-vezetek-halozati-adapter-kul-es-belteri-kivitel-kkl-1000c-ww-15581","https://www.somogyi.hu/product/home-kkl-1000c-ww-led-es-fenyfuzer-70-m-1000-db-melegfeher-led-allofenyu-zold-vezetek-halozati-adapter-kul-es-belteri-kivitel-kkl-1000c-ww-15581")</f>
        <v>0.0</v>
      </c>
      <c r="E904" s="7" t="n">
        <f>HYPERLINK("https://www.somogyi.hu/data/img/product_main_images/small/15581.jpg","https://www.somogyi.hu/data/img/product_main_images/small/15581.jpg")</f>
        <v>0.0</v>
      </c>
      <c r="F904" s="2" t="inlineStr">
        <is>
          <t>5999084936150</t>
        </is>
      </c>
      <c r="G904" s="4" t="inlineStr">
        <is>
          <t>Sokoldalú fényforrást keres, ami bevilágíthatja otthona minden szegletét? A KKL 1000C/WW fényfüzér a tökéletes választás!
Legyen szó kerti partiról vagy otthoni meghitt estékről, ez a termék mind kinti, mind benti használatra ideális. 
Az 1000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1000C/WW fényfüzérrel!</t>
        </is>
      </c>
    </row>
    <row r="905">
      <c r="A905" s="3" t="inlineStr">
        <is>
          <t>KKL 500C/WH</t>
        </is>
      </c>
      <c r="B905" s="2" t="inlineStr">
        <is>
          <t>Home KKL 500C/WH LED-es fényfüzér, 35 m / 500 db hidegfehér LED, állófényű, zöld vezeték, hálózati adapter, kül- és beltéri kivitel</t>
        </is>
      </c>
      <c r="C905" s="1" t="n">
        <v>14990.0</v>
      </c>
      <c r="D905" s="7" t="n">
        <f>HYPERLINK("https://www.somogyi.hu/product/home-kkl-500c-wh-led-es-fenyfuzer-35-m-500-db-hidegfeher-led-allofenyu-zold-vezetek-halozati-adapter-kul-es-belteri-kivitel-kkl-500c-wh-15585","https://www.somogyi.hu/product/home-kkl-500c-wh-led-es-fenyfuzer-35-m-500-db-hidegfeher-led-allofenyu-zold-vezetek-halozati-adapter-kul-es-belteri-kivitel-kkl-500c-wh-15585")</f>
        <v>0.0</v>
      </c>
      <c r="E905" s="7" t="n">
        <f>HYPERLINK("https://www.somogyi.hu/data/img/product_main_images/small/15585.jpg","https://www.somogyi.hu/data/img/product_main_images/small/15585.jpg")</f>
        <v>0.0</v>
      </c>
      <c r="F905" s="2" t="inlineStr">
        <is>
          <t>5999084936198</t>
        </is>
      </c>
      <c r="G905" s="4" t="inlineStr">
        <is>
          <t>Sokoldalú fényforrást keres, ami bevilágíthatja otthona minden szegletét? A KKL 500C/WH fényfüzér a tökéletes választás!
Legyen szó kerti partiról vagy otthoni meghitt estékről, ez a termék mind kinti, mind benti használatra ideális. 
Az 500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500C/WH fényfüzérrel!</t>
        </is>
      </c>
    </row>
    <row r="906">
      <c r="A906" s="3" t="inlineStr">
        <is>
          <t>LED 105/WW/M</t>
        </is>
      </c>
      <c r="B906" s="2" t="inlineStr">
        <is>
          <t>Home LED 105/WW/M LED-es DUAL COLOR fényfüzér, 7 m / 100 db melegfehér és színes LED, fekete vezeték, 5 fényprogram, hálózati adapter, kül- és beltéri kivitel</t>
        </is>
      </c>
      <c r="C906" s="1" t="n">
        <v>8390.0</v>
      </c>
      <c r="D906" s="7" t="n">
        <f>HYPERLINK("https://www.somogyi.hu/product/home-led-105-ww-m-led-es-dual-color-fenyfuzer-7-m-100-db-melegfeher-es-szines-led-fekete-vezetek-5-fenyprogram-halozati-adapter-kul-es-belteri-kivitel-led-105-ww-m-15610","https://www.somogyi.hu/product/home-led-105-ww-m-led-es-dual-color-fenyfuzer-7-m-100-db-melegfeher-es-szines-led-fekete-vezetek-5-fenyprogram-halozati-adapter-kul-es-belteri-kivitel-led-105-ww-m-15610")</f>
        <v>0.0</v>
      </c>
      <c r="E906" s="7" t="n">
        <f>HYPERLINK("https://www.somogyi.hu/data/img/product_main_images/small/15610.jpg","https://www.somogyi.hu/data/img/product_main_images/small/15610.jpg")</f>
        <v>0.0</v>
      </c>
      <c r="F906" s="2" t="inlineStr">
        <is>
          <t>5999084936440</t>
        </is>
      </c>
      <c r="G906" s="4" t="inlineStr">
        <is>
          <t>Nem múlhat el karácsony úgy, hogy ne díszítsük ki otthonunkat szebbnél-szebb díszekkel és dekorációkkal. A fényfüzér a karácsonyi ünnepek egyik legkedveltebb díszítőeleme, amely hűen visszaadja az ünnepek melegségét.
Az LED 105/WW/M LED-es dual color fényfüzér kiváló díszítőelem bel- és kültérre egyaránt . A fényfüzér világítását 100 darab melegfehér/színes LED biztosítja.
5 funkció közül választhatunk: színes állófényű, színes villogó, melegfehér állófényű, illetve felváltva színes és melegfehér villogó.
A fényfüzér 7 méter hosszúsággal rendelkezik. Válassza a minőségi termékeket és rendeljen webáruházunkból!</t>
        </is>
      </c>
    </row>
    <row r="907">
      <c r="A907" s="3" t="inlineStr">
        <is>
          <t>LED 205/WW/M</t>
        </is>
      </c>
      <c r="B907" s="2" t="inlineStr">
        <is>
          <t>Home LED 205/WW/M LED-es DUAL COLOR fényfüzér, 14 m / 200 db melegfehér és színes LED, zöld vezeték, 5 fényprogram, hálózati adapter, kül- és beltéri kivitel</t>
        </is>
      </c>
      <c r="C907" s="1" t="n">
        <v>11290.0</v>
      </c>
      <c r="D907" s="7" t="n">
        <f>HYPERLINK("https://www.somogyi.hu/product/home-led-205-ww-m-led-es-dual-color-fenyfuzer-14-m-200-db-melegfeher-es-szines-led-zold-vezetek-5-fenyprogram-halozati-adapter-kul-es-belteri-kivitel-led-205-ww-m-15611","https://www.somogyi.hu/product/home-led-205-ww-m-led-es-dual-color-fenyfuzer-14-m-200-db-melegfeher-es-szines-led-zold-vezetek-5-fenyprogram-halozati-adapter-kul-es-belteri-kivitel-led-205-ww-m-15611")</f>
        <v>0.0</v>
      </c>
      <c r="E907" s="7" t="n">
        <f>HYPERLINK("https://www.somogyi.hu/data/img/product_main_images/small/15611.jpg","https://www.somogyi.hu/data/img/product_main_images/small/15611.jpg")</f>
        <v>0.0</v>
      </c>
      <c r="F907" s="2" t="inlineStr">
        <is>
          <t>5999084936457</t>
        </is>
      </c>
      <c r="G907" s="4" t="inlineStr">
        <is>
          <t>Nem múlhat el karácsony úgy, hogy ne díszítsük ki otthonunkat szebbnél-szebb díszekkel és dekorációkkal. A fényfüzér a karácsonyi ünnepek egyik legkedveltebb dísztőeleme, amely hűen visszaadja az ünnepek melegségét.
Az LED 205/WW/M LED-es dual color fényfüzér kiváló díszítő elem bel- és kültérre egyaránt. A fényfüzér világítását 200 darab melegfehér/színes LED biztosítja.
5 funkció közül választhatunk: színes állófényű, színes villogó, melegfehér állófényű, illetve felváltva színes és melegfehér villogó.
A fényfüzér 14 méter hosszúsággal rendelkezik. Válassza a minőségi termékeket és rendeljen webáruházunkból!</t>
        </is>
      </c>
    </row>
    <row r="908">
      <c r="A908" s="3" t="inlineStr">
        <is>
          <t>KKL 500C/M</t>
        </is>
      </c>
      <c r="B908" s="2" t="inlineStr">
        <is>
          <t>Home KKL 500C/M LED-es fényfüzér, 35 m / 500 db színes LED, állófényű, zöld vezeték, hálózati adapter, kül- és beltéri kivitel</t>
        </is>
      </c>
      <c r="C908" s="1" t="n">
        <v>14990.0</v>
      </c>
      <c r="D908" s="7" t="n">
        <f>HYPERLINK("https://www.somogyi.hu/product/home-kkl-500c-m-led-es-fenyfuzer-35-m-500-db-szines-led-allofenyu-zold-vezetek-halozati-adapter-kul-es-belteri-kivitel-kkl-500c-m-15671","https://www.somogyi.hu/product/home-kkl-500c-m-led-es-fenyfuzer-35-m-500-db-szines-led-allofenyu-zold-vezetek-halozati-adapter-kul-es-belteri-kivitel-kkl-500c-m-15671")</f>
        <v>0.0</v>
      </c>
      <c r="E908" s="7" t="n">
        <f>HYPERLINK("https://www.somogyi.hu/data/img/product_main_images/small/15671.jpg","https://www.somogyi.hu/data/img/product_main_images/small/15671.jpg")</f>
        <v>0.0</v>
      </c>
      <c r="F908" s="2" t="inlineStr">
        <is>
          <t>5999084937058</t>
        </is>
      </c>
      <c r="G908" s="4" t="inlineStr">
        <is>
          <t>Sokoldalú fényforrást keres, ami bevilágíthatja otthona minden szegletét? A KKL 500C/M fényfüzér a tökéletes választás!
Legyen szó kerti partiról vagy otthoni meghitt estékről, ez a termék mind kinti, mind benti használatra ideális. 
Az 500 db színes,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500C/M fényfüzérrel!</t>
        </is>
      </c>
    </row>
    <row r="909">
      <c r="A909" s="3" t="inlineStr">
        <is>
          <t>LED 102R/WW/M</t>
        </is>
      </c>
      <c r="B909" s="2" t="inlineStr">
        <is>
          <t>Home LED 102R/WW/M LED-es DUAL COLOR fényfüzér, 7 m / 100 db melegfehér és színes LED, táviránytó, 2 fényprogram, hálózati adapter, kül- és beltéri kivitel</t>
        </is>
      </c>
      <c r="C909" s="1" t="n">
        <v>10590.0</v>
      </c>
      <c r="D909" s="7" t="n">
        <f>HYPERLINK("https://www.somogyi.hu/product/home-led-102r-ww-m-led-es-dual-color-fenyfuzer-7-m-100-db-melegfeher-es-szines-led-taviranyto-2-fenyprogram-halozati-adapter-kul-es-belteri-kivitel-led-102r-ww-m-16002","https://www.somogyi.hu/product/home-led-102r-ww-m-led-es-dual-color-fenyfuzer-7-m-100-db-melegfeher-es-szines-led-taviranyto-2-fenyprogram-halozati-adapter-kul-es-belteri-kivitel-led-102r-ww-m-16002")</f>
        <v>0.0</v>
      </c>
      <c r="E909" s="7" t="n">
        <f>HYPERLINK("https://www.somogyi.hu/data/img/product_main_images/small/16002.jpg","https://www.somogyi.hu/data/img/product_main_images/small/16002.jpg")</f>
        <v>0.0</v>
      </c>
      <c r="F909" s="2" t="inlineStr">
        <is>
          <t>5999084940348</t>
        </is>
      </c>
      <c r="G909" s="4" t="inlineStr">
        <is>
          <t>Fedezze fel az ünnepi világítás új dimenzióját a LED 102R/WW/M LED-es dual color függönyével! Ideális választás kül- és beltéri dekorációhoz.
A 100 melegfehér/színes LED gazdag fényjátékot teremt, melyet a fekete vezeték elegánsan kiegészít. Választhat a melegfehér és színes állófényű színvariációk között. A 6 óra bekapcsolt és 18 óra kikapcsolt ismétlődő időzítés, valamint a távirányítóval való vezérlés gondoskodik a kényelemről. Az IP44-es hálózati adapter lehetővé teszi a biztonságos kültéri használatot is.
Legyen a dekoráció sztárja a LED 102R/WW/M LED-es dual color függöny segítségével, és varázsolja egyedivé otthonát!</t>
        </is>
      </c>
    </row>
    <row r="910">
      <c r="A910" s="3" t="inlineStr">
        <is>
          <t>LED 202R/WW/M</t>
        </is>
      </c>
      <c r="B910" s="2" t="inlineStr">
        <is>
          <t>Home LED 202R/WW/M LED-es DUAL COLOR fényfüzér, 14 m / 200 db melegfehér és színes LED, távirányító, 2 fényprogram, hálózati adapter, kül- és beltéri kivitel</t>
        </is>
      </c>
      <c r="C910" s="1" t="n">
        <v>13390.0</v>
      </c>
      <c r="D910" s="7" t="n">
        <f>HYPERLINK("https://www.somogyi.hu/product/home-led-202r-ww-m-led-es-dual-color-fenyfuzer-14-m-200-db-melegfeher-es-szines-led-taviranyito-2-fenyprogram-halozati-adapter-kul-es-belteri-kivitel-led-202r-ww-m-16003","https://www.somogyi.hu/product/home-led-202r-ww-m-led-es-dual-color-fenyfuzer-14-m-200-db-melegfeher-es-szines-led-taviranyito-2-fenyprogram-halozati-adapter-kul-es-belteri-kivitel-led-202r-ww-m-16003")</f>
        <v>0.0</v>
      </c>
      <c r="E910" s="7" t="n">
        <f>HYPERLINK("https://www.somogyi.hu/data/img/product_main_images/small/16003.jpg","https://www.somogyi.hu/data/img/product_main_images/small/16003.jpg")</f>
        <v>0.0</v>
      </c>
      <c r="F910" s="2" t="inlineStr">
        <is>
          <t>5999084940355</t>
        </is>
      </c>
      <c r="G910" s="4" t="inlineStr">
        <is>
          <t xml:space="preserve"> • elhelyezhetőség: kültéri / beltéri 
 • fényforrás: LED 
 • fényforrások száma: 200 db 
 • fényforrások színe: melegfehér / színes 
 • funkciók: melegfehér állófényű /  színes állófényű 
 • vezeték színe: fekete 
 • hossz: 14 m 
 • tápellátás: 230 V~ (adapteres) 
 • egyéb: időzítővel, 6 óra világítás, 18 óra szünet, távirányítóval</t>
        </is>
      </c>
    </row>
    <row r="911">
      <c r="A911" s="3" t="inlineStr">
        <is>
          <t>KKL 200F/WH</t>
        </is>
      </c>
      <c r="B911" s="2" t="inlineStr">
        <is>
          <t>Home KKL 200F/WH LED-es sziporkázó fényfüzér, 20 m / 200 db hidegfehéren sziporkázó melegfehér LED, zöld vezeték, hálózati adapter, kül- és beltéri kivitel</t>
        </is>
      </c>
      <c r="C911" s="1" t="n">
        <v>10890.0</v>
      </c>
      <c r="D911" s="7" t="n">
        <f>HYPERLINK("https://www.somogyi.hu/product/home-kkl-200f-wh-led-es-sziporkazo-fenyfuzer-20-m-200-db-hidegfeheren-sziporkazo-melegfeher-led-zold-vezetek-halozati-adapter-kul-es-belteri-kivitel-kkl-200f-wh-16005","https://www.somogyi.hu/product/home-kkl-200f-wh-led-es-sziporkazo-fenyfuzer-20-m-200-db-hidegfeheren-sziporkazo-melegfeher-led-zold-vezetek-halozati-adapter-kul-es-belteri-kivitel-kkl-200f-wh-16005")</f>
        <v>0.0</v>
      </c>
      <c r="E911" s="7" t="n">
        <f>HYPERLINK("https://www.somogyi.hu/data/img/product_main_images/small/16005.jpg","https://www.somogyi.hu/data/img/product_main_images/small/16005.jpg")</f>
        <v>0.0</v>
      </c>
      <c r="F911" s="2" t="inlineStr">
        <is>
          <t>5999084940379</t>
        </is>
      </c>
      <c r="G911" s="4" t="inlineStr">
        <is>
          <t>Elgondolkodott már azon, hogyan tehetné otthona hangulatát még varázslatosabbá? A KKL 200F/WH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200F/WH fényfüzérrel!</t>
        </is>
      </c>
    </row>
    <row r="912">
      <c r="A912" s="3" t="inlineStr">
        <is>
          <t>KKL 200F/WW</t>
        </is>
      </c>
      <c r="B912" s="2" t="inlineStr">
        <is>
          <t>Home KKL 200F/WW LED-es sziporkázó fényfüzér, 20 m / 200 db sziporkázó melegfehér LED, zöld vezeték, hálózati adapter, kül- és beltéri kivitel</t>
        </is>
      </c>
      <c r="C912" s="1" t="n">
        <v>10890.0</v>
      </c>
      <c r="D912" s="7" t="n">
        <f>HYPERLINK("https://www.somogyi.hu/product/home-kkl-200f-ww-led-es-sziporkazo-fenyfuzer-20-m-200-db-sziporkazo-melegfeher-led-zold-vezetek-halozati-adapter-kul-es-belteri-kivitel-kkl-200f-ww-16007","https://www.somogyi.hu/product/home-kkl-200f-ww-led-es-sziporkazo-fenyfuzer-20-m-200-db-sziporkazo-melegfeher-led-zold-vezetek-halozati-adapter-kul-es-belteri-kivitel-kkl-200f-ww-16007")</f>
        <v>0.0</v>
      </c>
      <c r="E912" s="7" t="n">
        <f>HYPERLINK("https://www.somogyi.hu/data/img/product_main_images/small/16007.jpg","https://www.somogyi.hu/data/img/product_main_images/small/16007.jpg")</f>
        <v>0.0</v>
      </c>
      <c r="F912" s="2" t="inlineStr">
        <is>
          <t>5999084940393</t>
        </is>
      </c>
      <c r="G912" s="4" t="inlineStr">
        <is>
          <t>Elgondolkodott már azon, hogyan tehetné otthona hangulatát még varázslatosabbá? A KKL 200F/WW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200F/WW fényfüzérrel!</t>
        </is>
      </c>
    </row>
    <row r="913">
      <c r="A913" s="3" t="inlineStr">
        <is>
          <t>KKL 500F/WH</t>
        </is>
      </c>
      <c r="B913" s="2" t="inlineStr">
        <is>
          <t>Home KKL 500F/WH LED-es sziporkázó fényfüzér, 50 m / 500 db hidegfehéren sziporkázó melegfehér LED, fehér vezeték, hálózati adapter, kül- és beltéri kivitel</t>
        </is>
      </c>
      <c r="C913" s="1" t="n">
        <v>23190.0</v>
      </c>
      <c r="D913" s="7" t="n">
        <f>HYPERLINK("https://www.somogyi.hu/product/home-kkl-500f-wh-led-es-sziporkazo-fenyfuzer-50-m-500-db-hidegfeheren-sziporkazo-melegfeher-led-feher-vezetek-halozati-adapter-kul-es-belteri-kivitel-kkl-500f-wh-16009","https://www.somogyi.hu/product/home-kkl-500f-wh-led-es-sziporkazo-fenyfuzer-50-m-500-db-hidegfeheren-sziporkazo-melegfeher-led-feher-vezetek-halozati-adapter-kul-es-belteri-kivitel-kkl-500f-wh-16009")</f>
        <v>0.0</v>
      </c>
      <c r="E913" s="7" t="n">
        <f>HYPERLINK("https://www.somogyi.hu/data/img/product_main_images/small/16009.jpg","https://www.somogyi.hu/data/img/product_main_images/small/16009.jpg")</f>
        <v>0.0</v>
      </c>
      <c r="F913" s="2" t="inlineStr">
        <is>
          <t>5999084940416</t>
        </is>
      </c>
      <c r="G913" s="4" t="inlineStr">
        <is>
          <t>Elgondolkodott már azon, hogyan tehetné otthona hangulatát még varázslatosabbá? A KKL 500F/WH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fehér 5 méteres tápvezetéknek köszönhetően rugalmasan elhelyezhető.
A megbízható tápellátásról a kültéri IP44-es hálózati adapter gondoskodik.
Változtassa át otthonát vagy kertjét egy igazi mesebeli környezetté a KKL 500F/WH fényfüzérrel!</t>
        </is>
      </c>
    </row>
    <row r="914">
      <c r="A914" s="3" t="inlineStr">
        <is>
          <t>KKL 500F/WW</t>
        </is>
      </c>
      <c r="B914" s="2" t="inlineStr">
        <is>
          <t>Home KKL 500F/WW LED-es sziporkázó fényfüzér, 50 m / 500 db sziporkázó melegfehér LED, fehér vezeték, hálózati adapter, kül- és beltéri kivitel</t>
        </is>
      </c>
      <c r="C914" s="1" t="n">
        <v>23190.0</v>
      </c>
      <c r="D914" s="7" t="n">
        <f>HYPERLINK("https://www.somogyi.hu/product/home-kkl-500f-ww-led-es-sziporkazo-fenyfuzer-50-m-500-db-sziporkazo-melegfeher-led-feher-vezetek-halozati-adapter-kul-es-belteri-kivitel-kkl-500f-ww-16011","https://www.somogyi.hu/product/home-kkl-500f-ww-led-es-sziporkazo-fenyfuzer-50-m-500-db-sziporkazo-melegfeher-led-feher-vezetek-halozati-adapter-kul-es-belteri-kivitel-kkl-500f-ww-16011")</f>
        <v>0.0</v>
      </c>
      <c r="E914" s="7" t="n">
        <f>HYPERLINK("https://www.somogyi.hu/data/img/product_main_images/small/16011.jpg","https://www.somogyi.hu/data/img/product_main_images/small/16011.jpg")</f>
        <v>0.0</v>
      </c>
      <c r="F914" s="2" t="inlineStr">
        <is>
          <t>5999084940430</t>
        </is>
      </c>
      <c r="G914" s="4" t="inlineStr">
        <is>
          <t>Elgondolkodott már azon, hogyan tehetné otthona hangulatát még varázslatosabbá? A KKL 500F/WW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Az 5 méteres tápvezetéknek köszönhetően rugalmasan elhelyezhető. 
A megbízható tápellátásról a kültéri IP44-es hálózati adapter gondoskodik.
Változtassa át otthonát vagy kertjét egy igazi mesebeli környezetté a KKL 500F/WW fényfüzérrel!</t>
        </is>
      </c>
    </row>
    <row r="915">
      <c r="A915" s="3" t="inlineStr">
        <is>
          <t>KII 50/WH</t>
        </is>
      </c>
      <c r="B915" s="2" t="inlineStr">
        <is>
          <t>Home KII 50/WH LED-es fényfüzér, 4 m / 50 db hidegfehér LED, állófényű, zöld vezeték, hálózati adapter, beltéri kivitel</t>
        </is>
      </c>
      <c r="C915" s="1" t="n">
        <v>3990.0</v>
      </c>
      <c r="D915" s="7" t="n">
        <f>HYPERLINK("https://www.somogyi.hu/product/home-kii-50-wh-led-es-fenyfuzer-4-m-50-db-hidegfeher-led-allofenyu-zold-vezetek-halozati-adapter-belteri-kivitel-kii-50-wh-16124","https://www.somogyi.hu/product/home-kii-50-wh-led-es-fenyfuzer-4-m-50-db-hidegfeher-led-allofenyu-zold-vezetek-halozati-adapter-belteri-kivitel-kii-50-wh-16124")</f>
        <v>0.0</v>
      </c>
      <c r="E915" s="7" t="n">
        <f>HYPERLINK("https://www.somogyi.hu/data/img/product_main_images/small/16124.jpg","https://www.somogyi.hu/data/img/product_main_images/small/16124.jpg")</f>
        <v>0.0</v>
      </c>
      <c r="F915" s="2" t="inlineStr">
        <is>
          <t>5999084941567</t>
        </is>
      </c>
      <c r="G915" s="4" t="inlineStr">
        <is>
          <t>Meg akarja világítani belső tereit különleges, lenyűgöző módon?
A KII 50/WH pontosan erre kínál önnek lehetőséget! Egy kiváló minőségű, beltéri kivitelű világítási megoldás, melynek 50 hidegfehér állófényű LED-je ragyogással tölti meg lakását. 
A zöld vezeték jól illeszkedik a karácsonyfa környezetébe, így egy diszkrét és modern vizuális élményt nyújt. 
A beltéri hálózati adapternek köszönhetően, a KII 50/WH egyszerűen és biztonságosan csatlakoztatható otthona hálózati aljzataihoz.
Lépjen be egy káprázatosan hidegfehér világba a KII 50/WH-val és hozzon létre otthonában egy lenyűgöző atmoszférát!</t>
        </is>
      </c>
    </row>
    <row r="916">
      <c r="A916" s="3" t="inlineStr">
        <is>
          <t>KII 50/WW</t>
        </is>
      </c>
      <c r="B916" s="2" t="inlineStr">
        <is>
          <t>Home KII 50/WW LED-es fényfüzér, 4 m / 50 db melegfehér LED, állófényű, zöld vezeték, hálózati adapter, beltéri kivitel</t>
        </is>
      </c>
      <c r="C916" s="1" t="n">
        <v>3990.0</v>
      </c>
      <c r="D916" s="7" t="n">
        <f>HYPERLINK("https://www.somogyi.hu/product/home-kii-50-ww-led-es-fenyfuzer-4-m-50-db-melegfeher-led-allofenyu-zold-vezetek-halozati-adapter-belteri-kivitel-kii-50-ww-16125","https://www.somogyi.hu/product/home-kii-50-ww-led-es-fenyfuzer-4-m-50-db-melegfeher-led-allofenyu-zold-vezetek-halozati-adapter-belteri-kivitel-kii-50-ww-16125")</f>
        <v>0.0</v>
      </c>
      <c r="E916" s="7" t="n">
        <f>HYPERLINK("https://www.somogyi.hu/data/img/product_main_images/small/16125.jpg","https://www.somogyi.hu/data/img/product_main_images/small/16125.jpg")</f>
        <v>0.0</v>
      </c>
      <c r="F916" s="2" t="inlineStr">
        <is>
          <t>5999084941574</t>
        </is>
      </c>
      <c r="G916" s="4" t="inlineStr">
        <is>
          <t>Meg akarja világítani belső tereit különleges, lenyűgöző módon?
A KII 50/WW pontosan erre kínál önnek lehetőséget! Egy kiváló minőségű, beltéri kivitelű világítási megoldás, melynek 50 melegfehér állófényű LED-je ragyogással tölti meg lakását. 
A zöld vezeték jól illeszkedik a karácsonyfa környezetébe, így egy diszkrét és modern vizuális élményt nyújt. 
A beltéri hálózati adapternek köszönhetően, a KII 50/WW egyszerűen és biztonságosan csatlakoztatható otthona hálózati aljzataihoz.
Lépjen be egy káprázatosan melegfehér világba a KII 50/WW-vel és hozzon létre otthonában egy lenyűgöző atmoszférát!</t>
        </is>
      </c>
    </row>
    <row r="917">
      <c r="A917" s="3" t="inlineStr">
        <is>
          <t>KII 50/M</t>
        </is>
      </c>
      <c r="B917" s="2" t="inlineStr">
        <is>
          <t>Home KII 50/M LED-es fényfüzér, 4 m / 50 db színes LED, állófényű, zöld vezeték, hálózati adapter, beltéri kivitel</t>
        </is>
      </c>
      <c r="C917" s="1" t="n">
        <v>3990.0</v>
      </c>
      <c r="D917" s="7" t="n">
        <f>HYPERLINK("https://www.somogyi.hu/product/home-kii-50-m-led-es-fenyfuzer-4-m-50-db-szines-led-allofenyu-zold-vezetek-halozati-adapter-belteri-kivitel-kii-50-m-16126","https://www.somogyi.hu/product/home-kii-50-m-led-es-fenyfuzer-4-m-50-db-szines-led-allofenyu-zold-vezetek-halozati-adapter-belteri-kivitel-kii-50-m-16126")</f>
        <v>0.0</v>
      </c>
      <c r="E917" s="7" t="n">
        <f>HYPERLINK("https://www.somogyi.hu/data/img/product_main_images/small/16126.jpg","https://www.somogyi.hu/data/img/product_main_images/small/16126.jpg")</f>
        <v>0.0</v>
      </c>
      <c r="F917" s="2" t="inlineStr">
        <is>
          <t>5999084941581</t>
        </is>
      </c>
      <c r="G917" s="4" t="inlineStr">
        <is>
          <t>Meg akarja világítani belső tereit különleges, lenyűgöző módon?
A KII 50/M pontosan erre kínál önnek lehetőséget! Egy kiváló minőségű, beltéri kivitelű világítási megoldás, melynek 50 színes állófényű LED-je ragyogással tölti meg lakását. 
A zöld vezeték jól illeszkedik a karácsonyfa környezetébe, így egy diszkrét és modern vizuális élményt nyújt. 
A beltéri hálózati adapternek köszönhetően, a KII 50/M egyszerűen és biztonságosan csatlakoztatható otthona hálózati aljzataihoz.
Lépjen be egy káprázatosan színes világba a KII 50/M-mel és hozzon létre otthonában egy lenyűgöző atmoszférát!</t>
        </is>
      </c>
    </row>
    <row r="918">
      <c r="A918" s="3" t="inlineStr">
        <is>
          <t>KII 50/R</t>
        </is>
      </c>
      <c r="B918" s="2" t="inlineStr">
        <is>
          <t>Home KII 50/R LED-es fényfüzér, 4 m / 50 db piros LED, állófényű, zöld vezeték, hálózati adapter, beltéri kivitel</t>
        </is>
      </c>
      <c r="C918" s="1" t="n">
        <v>4290.0</v>
      </c>
      <c r="D918" s="7" t="n">
        <f>HYPERLINK("https://www.somogyi.hu/product/home-kii-50-r-led-es-fenyfuzer-4-m-50-db-piros-led-allofenyu-zold-vezetek-halozati-adapter-belteri-kivitel-kii-50-r-16127","https://www.somogyi.hu/product/home-kii-50-r-led-es-fenyfuzer-4-m-50-db-piros-led-allofenyu-zold-vezetek-halozati-adapter-belteri-kivitel-kii-50-r-16127")</f>
        <v>0.0</v>
      </c>
      <c r="E918" s="7" t="n">
        <f>HYPERLINK("https://www.somogyi.hu/data/img/product_main_images/small/16127.jpg","https://www.somogyi.hu/data/img/product_main_images/small/16127.jpg")</f>
        <v>0.0</v>
      </c>
      <c r="F918" s="2" t="inlineStr">
        <is>
          <t>5999084941598</t>
        </is>
      </c>
      <c r="G918" s="4" t="inlineStr">
        <is>
          <t>Meg akarja világítani belső tereit különleges, lenyűgöző módon?
A KII 50/R pontosan erre kínál önnek lehetőséget! Egy kiváló minőségű, beltéri kivitelű világítási megoldás, melynek 50 piros állófényű LED-je ragyogással tölti meg lakását. 
A zöld vezeték jól illeszkedik a karácsonyfa környezetébe, így egy diszkrét és modern vizuális élményt nyújt. 
A beltéri hálózati adapternek köszönhetően, a KII 50/R egyszerűen és biztonságosan csatlakoztatható otthona hálózati aljzataihoz.
Lépjen be egy káprázatosan piros világba a KII 50/R-rel és hozzon létre otthonában egy lenyűgöző atmoszférát!</t>
        </is>
      </c>
    </row>
    <row r="919">
      <c r="A919" s="3" t="inlineStr">
        <is>
          <t>KII 50/BL</t>
        </is>
      </c>
      <c r="B919" s="2" t="inlineStr">
        <is>
          <t>Home KII 50/BL LED-es fényfüzér, 4 m / 50 db kék LED, állófényű, zöld vezeték, hálózati adapter, beltéri kivitel</t>
        </is>
      </c>
      <c r="C919" s="1" t="n">
        <v>4290.0</v>
      </c>
      <c r="D919" s="7" t="n">
        <f>HYPERLINK("https://www.somogyi.hu/product/home-kii-50-bl-led-es-fenyfuzer-4-m-50-db-kek-led-allofenyu-zold-vezetek-halozati-adapter-belteri-kivitel-kii-50-bl-16128","https://www.somogyi.hu/product/home-kii-50-bl-led-es-fenyfuzer-4-m-50-db-kek-led-allofenyu-zold-vezetek-halozati-adapter-belteri-kivitel-kii-50-bl-16128")</f>
        <v>0.0</v>
      </c>
      <c r="E919" s="7" t="n">
        <f>HYPERLINK("https://www.somogyi.hu/data/img/product_main_images/small/16128.jpg","https://www.somogyi.hu/data/img/product_main_images/small/16128.jpg")</f>
        <v>0.0</v>
      </c>
      <c r="F919" s="2" t="inlineStr">
        <is>
          <t>5999084941604</t>
        </is>
      </c>
      <c r="G919" s="4" t="inlineStr">
        <is>
          <t>Meg akarja világítani belső tereit különleges, lenyűgöző módon?
A KII 50/BL pontosan erre kínál Önnek lehetőséget! Egy kiváló minőségű, beltéri kivitelű világítási megoldás, melynek 50 kék állófényű LED-je ragyogással tölti meg lakását. 
A zöld vezeték jól illeszkedik a karácsonyfa környezetébe, így egy diszkrét és modern vizuális élményt nyújt. 
A beltéri hálózati adapternek köszönhetően, a KII 50/BL egyszerűen és biztonságosan csatlakoztatható otthona hálózati aljzataihoz.
Lépjen be egy káprázatosan kék világba a KII 50/BL-lel és hozzon létre otthonában egy lenyűgöző atmoszférát!</t>
        </is>
      </c>
    </row>
    <row r="920">
      <c r="A920" s="3" t="inlineStr">
        <is>
          <t>KII 100/WH</t>
        </is>
      </c>
      <c r="B920" s="2" t="inlineStr">
        <is>
          <t>Home KII 100/WH LED-es fényfüzér, 8 m / 100 db hidegfehér LED, állófényű, zöld vezeték, hálózati adapter, beltéri kivitel</t>
        </is>
      </c>
      <c r="C920" s="1" t="n">
        <v>4590.0</v>
      </c>
      <c r="D920" s="7" t="n">
        <f>HYPERLINK("https://www.somogyi.hu/product/home-kii-100-wh-led-es-fenyfuzer-8-m-100-db-hidegfeher-led-allofenyu-zold-vezetek-halozati-adapter-belteri-kivitel-kii-100-wh-16131","https://www.somogyi.hu/product/home-kii-100-wh-led-es-fenyfuzer-8-m-100-db-hidegfeher-led-allofenyu-zold-vezetek-halozati-adapter-belteri-kivitel-kii-100-wh-16131")</f>
        <v>0.0</v>
      </c>
      <c r="E920" s="7" t="n">
        <f>HYPERLINK("https://www.somogyi.hu/data/img/product_main_images/small/16131.jpg","https://www.somogyi.hu/data/img/product_main_images/small/16131.jpg")</f>
        <v>0.0</v>
      </c>
      <c r="F920" s="2" t="inlineStr">
        <is>
          <t>5999084941635</t>
        </is>
      </c>
      <c r="G920" s="4" t="inlineStr">
        <is>
          <t>Meg akarja világítani belső tereit különleges, lenyűgöző módon?
A KII 100/WH pontosan erre kínál önnek lehetőséget! Egy kiváló minőségű, beltéri kivitelű világítási megoldás, melynek 100 hidegfehér állófényű LED-je ragyogással tölti meg lakását. 
A zöld vezeték jól illeszkedik a karácsonyfa környezetébe, így egy diszkrét és modern vizuális élményt nyújt. 
A beltéri hálózati adapternek köszönhetően, a KII 100/WH egyszerűen és biztonságosan csatlakoztatható otthona hálózati aljzataihoz.
Lépjen be egy káprázatosan hidegfehér világba a KII 100/WH-val és hozzon létre otthonában egy lenyűgöző atmoszférát!</t>
        </is>
      </c>
    </row>
    <row r="921">
      <c r="A921" s="3" t="inlineStr">
        <is>
          <t>KII 100/WW</t>
        </is>
      </c>
      <c r="B921" s="2" t="inlineStr">
        <is>
          <t>Home KII 100/WW LED-es fényfüzér, 8 m / 100 db melegfehér LED, állófényű, zöld vezeték, hálózati adapter, beltéri kivitel</t>
        </is>
      </c>
      <c r="C921" s="1" t="n">
        <v>4590.0</v>
      </c>
      <c r="D921" s="7" t="n">
        <f>HYPERLINK("https://www.somogyi.hu/product/home-kii-100-ww-led-es-fenyfuzer-8-m-100-db-melegfeher-led-allofenyu-zold-vezetek-halozati-adapter-belteri-kivitel-kii-100-ww-16132","https://www.somogyi.hu/product/home-kii-100-ww-led-es-fenyfuzer-8-m-100-db-melegfeher-led-allofenyu-zold-vezetek-halozati-adapter-belteri-kivitel-kii-100-ww-16132")</f>
        <v>0.0</v>
      </c>
      <c r="E921" s="7" t="n">
        <f>HYPERLINK("https://www.somogyi.hu/data/img/product_main_images/small/16132.jpg","https://www.somogyi.hu/data/img/product_main_images/small/16132.jpg")</f>
        <v>0.0</v>
      </c>
      <c r="F921" s="2" t="inlineStr">
        <is>
          <t>5999084941642</t>
        </is>
      </c>
      <c r="G921" s="4" t="inlineStr">
        <is>
          <t>Meg akarja világítani belső tereit különleges, lenyűgöző módon?
A KII 100/WW pontosan erre kínál önnek lehetőséget! Egy kiváló minőségű, beltéri kivitelű világítási megoldás, melynek 100 melegfehér állófényű LED-je ragyogással tölti meg lakását. 
A zöld vezeték jól illeszkedik a karácsonyfa környezetébe, így egy diszkrét és modern vizuális élményt nyújt. 
A beltéri hálózati adapternek köszönhetően, a KII 100/WW egyszerűen és biztonságosan csatlakoztatható otthona hálózati aljzataihoz.
Lépjen be egy káprázatosan melegfehér világba a KII 100/WW-vel és hozzon létre otthonában egy lenyűgöző atmoszférát!</t>
        </is>
      </c>
    </row>
    <row r="922">
      <c r="A922" s="3" t="inlineStr">
        <is>
          <t>KII 100/M</t>
        </is>
      </c>
      <c r="B922" s="2" t="inlineStr">
        <is>
          <t>Home KII 100/M LED-es fényfüzér, 8 m / 100 db színes LED, állófényű, zöld vezeték, hálózati adapter, beltéri kivitel</t>
        </is>
      </c>
      <c r="C922" s="1" t="n">
        <v>4590.0</v>
      </c>
      <c r="D922" s="7" t="n">
        <f>HYPERLINK("https://www.somogyi.hu/product/home-kii-100-m-led-es-fenyfuzer-8-m-100-db-szines-led-allofenyu-zold-vezetek-halozati-adapter-belteri-kivitel-kii-100-m-16133","https://www.somogyi.hu/product/home-kii-100-m-led-es-fenyfuzer-8-m-100-db-szines-led-allofenyu-zold-vezetek-halozati-adapter-belteri-kivitel-kii-100-m-16133")</f>
        <v>0.0</v>
      </c>
      <c r="E922" s="7" t="n">
        <f>HYPERLINK("https://www.somogyi.hu/data/img/product_main_images/small/16133.jpg","https://www.somogyi.hu/data/img/product_main_images/small/16133.jpg")</f>
        <v>0.0</v>
      </c>
      <c r="F922" s="2" t="inlineStr">
        <is>
          <t>5999084941659</t>
        </is>
      </c>
      <c r="G922" s="4" t="inlineStr">
        <is>
          <t>Meg akarja világítani belső tereit különleges, lenyűgöző módon?
A KII 100/M pontosan erre kínál önnek lehetőséget! Egy kiváló minőségű, beltéri kivitelű világítási megoldás, melynek 100 színes állófényű LED-je ragyogással tölti meg lakását. 
A zöld vezeték jól illeszkedik a karácsonyfa környezetébe, így egy diszkrét és modern vizuális élményt nyújt. 
A beltéri hálózati adapternek köszönhetően, a KII 100/M egyszerűen és biztonságosan csatlakoztatható otthona hálózati aljzataihoz.
Lépjen be egy káprázatosan színes világba a KII 100/M-mel és hozzon létre otthonában egy lenyűgöző atmoszférát!</t>
        </is>
      </c>
    </row>
    <row r="923">
      <c r="A923" s="3" t="inlineStr">
        <is>
          <t>KII 100/R</t>
        </is>
      </c>
      <c r="B923" s="2" t="inlineStr">
        <is>
          <t>Home KII 100/R LED-es fényfüzér, 8 m / 100 db piros LED, állófényű, zöld vezeték, hálózati adapter, beltéri kivitel</t>
        </is>
      </c>
      <c r="C923" s="1" t="n">
        <v>5490.0</v>
      </c>
      <c r="D923" s="7" t="n">
        <f>HYPERLINK("https://www.somogyi.hu/product/home-kii-100-r-led-es-fenyfuzer-8-m-100-db-piros-led-allofenyu-zold-vezetek-halozati-adapter-belteri-kivitel-kii-100-r-16134","https://www.somogyi.hu/product/home-kii-100-r-led-es-fenyfuzer-8-m-100-db-piros-led-allofenyu-zold-vezetek-halozati-adapter-belteri-kivitel-kii-100-r-16134")</f>
        <v>0.0</v>
      </c>
      <c r="E923" s="7" t="n">
        <f>HYPERLINK("https://www.somogyi.hu/data/img/product_main_images/small/16134.jpg","https://www.somogyi.hu/data/img/product_main_images/small/16134.jpg")</f>
        <v>0.0</v>
      </c>
      <c r="F923" s="2" t="inlineStr">
        <is>
          <t>5999084941666</t>
        </is>
      </c>
      <c r="G923" s="4" t="inlineStr">
        <is>
          <t>Meg akarja világítani belső tereit különleges, lenyűgöző módon?
A KII 100/R pontosan erre kínál önnek lehetőséget! Egy kiváló minőségű, beltéri kivitelű világítási megoldás, melynek 100 piros állófényű LED-je ragyogással tölti meg lakását. 
A zöld vezeték jól illeszkedik a karácsonyfa környezetébe, így egy diszkrét és modern vizuális élményt nyújt. 
A beltéri hálózati adapternek köszönhetően, a KII 100/R egyszerűen és biztonságosan csatlakoztatható otthona hálózati aljzataihoz.
Lépjen be egy káprázatosan piros világba a KII 100/R-rel és hozzon létre otthonában egy lenyűgöző atmoszférát!</t>
        </is>
      </c>
    </row>
    <row r="924">
      <c r="A924" s="3" t="inlineStr">
        <is>
          <t>KII 100/BL</t>
        </is>
      </c>
      <c r="B924" s="2" t="inlineStr">
        <is>
          <t>Home KII 100/BL LED-es fényfüzér, 8 m / 100 db kék LED, állófényű, zöld vezeték, hálózati adapter, beltéri kivitel</t>
        </is>
      </c>
      <c r="C924" s="1" t="n">
        <v>5490.0</v>
      </c>
      <c r="D924" s="7" t="n">
        <f>HYPERLINK("https://www.somogyi.hu/product/home-kii-100-bl-led-es-fenyfuzer-8-m-100-db-kek-led-allofenyu-zold-vezetek-halozati-adapter-belteri-kivitel-kii-100-bl-16135","https://www.somogyi.hu/product/home-kii-100-bl-led-es-fenyfuzer-8-m-100-db-kek-led-allofenyu-zold-vezetek-halozati-adapter-belteri-kivitel-kii-100-bl-16135")</f>
        <v>0.0</v>
      </c>
      <c r="E924" s="7" t="n">
        <f>HYPERLINK("https://www.somogyi.hu/data/img/product_main_images/small/16135.jpg","https://www.somogyi.hu/data/img/product_main_images/small/16135.jpg")</f>
        <v>0.0</v>
      </c>
      <c r="F924" s="2" t="inlineStr">
        <is>
          <t>5999084941673</t>
        </is>
      </c>
      <c r="G924" s="4" t="inlineStr">
        <is>
          <t>Meg akarja világítani belső tereit különleges, lenyűgöző módon?
A KII 100/BL pontosan erre kínál önnek lehetőséget! Egy kiváló minőségű, beltéri kivitelű világítási megoldás, melynek 100 kék állófényű LED-je ragyogással tölti meg lakását. 
A zöld vezeték jól illeszkedik a karácsonyfa környezetébe, így egy diszkrét és modern vizuális élményt nyújt. 
A beltéri hálózati adapternek köszönhetően, a KII 100/BL egyszerűen és biztonságosan csatlakoztatható otthona hálózati aljzataihoz.
Lépjen be egy káprázatosan kék világba a KII 100/BL-lel és hozzon létre otthonában egy lenyűgöző atmoszférát!</t>
        </is>
      </c>
    </row>
    <row r="925">
      <c r="A925" s="3" t="inlineStr">
        <is>
          <t>KII 100/P</t>
        </is>
      </c>
      <c r="B925" s="2" t="inlineStr">
        <is>
          <t>Home KII 100/P LED-es fényfüzér, 8 m / 100 db pink LED, állófényű, zöld vezeték, hálózati adapter, beltéri kivitel</t>
        </is>
      </c>
      <c r="C925" s="1" t="n">
        <v>5490.0</v>
      </c>
      <c r="D925" s="7" t="n">
        <f>HYPERLINK("https://www.somogyi.hu/product/home-kii-100-p-led-es-fenyfuzer-8-m-100-db-pink-led-allofenyu-zold-vezetek-halozati-adapter-belteri-kivitel-kii-100-p-16136","https://www.somogyi.hu/product/home-kii-100-p-led-es-fenyfuzer-8-m-100-db-pink-led-allofenyu-zold-vezetek-halozati-adapter-belteri-kivitel-kii-100-p-16136")</f>
        <v>0.0</v>
      </c>
      <c r="E925" s="7" t="n">
        <f>HYPERLINK("https://www.somogyi.hu/data/img/product_main_images/small/16136.jpg","https://www.somogyi.hu/data/img/product_main_images/small/16136.jpg")</f>
        <v>0.0</v>
      </c>
      <c r="F925" s="2" t="inlineStr">
        <is>
          <t>5999084941680</t>
        </is>
      </c>
      <c r="G925" s="4" t="inlineStr">
        <is>
          <t>Meg akarja világítani belső tereit különleges, lenyűgöző módon?
A KII 100/P pontosan erre kínál önnek lehetőséget! Egy kiváló minőségű, beltéri kivitelű világítási megoldás, melynek 100 pink állófényű LED-je ragyogással tölti meg lakását. 
A zöld vezeték jól illeszkedik a karácsonyfa környezetébe, így egy diszkrét és modern vizuális élményt nyújt. 
A beltéri hálózati adapternek köszönhetően, a KII 100/P egyszerűen és biztonságosan csatlakoztatható otthona hálózati aljzataihoz.
Lépjen be egy káprázatosan pink világba a KII 100/P-vel és hozzon létre otthonában egy lenyűgöző atmoszférát!</t>
        </is>
      </c>
    </row>
    <row r="926">
      <c r="A926" s="3" t="inlineStr">
        <is>
          <t>KII 100/T</t>
        </is>
      </c>
      <c r="B926" s="2" t="inlineStr">
        <is>
          <t>Home KII 100/T LED-es fényfüzér, 8 m / 100 db türkiz LED, állófényű, zöld vezeték, hálózati adapter, beltéri kivitel</t>
        </is>
      </c>
      <c r="C926" s="1" t="n">
        <v>5490.0</v>
      </c>
      <c r="D926" s="7" t="n">
        <f>HYPERLINK("https://www.somogyi.hu/product/home-kii-100-t-led-es-fenyfuzer-8-m-100-db-turkiz-led-allofenyu-zold-vezetek-halozati-adapter-belteri-kivitel-kii-100-t-16137","https://www.somogyi.hu/product/home-kii-100-t-led-es-fenyfuzer-8-m-100-db-turkiz-led-allofenyu-zold-vezetek-halozati-adapter-belteri-kivitel-kii-100-t-16137")</f>
        <v>0.0</v>
      </c>
      <c r="E926" s="7" t="n">
        <f>HYPERLINK("https://www.somogyi.hu/data/img/product_main_images/small/16137.jpg","https://www.somogyi.hu/data/img/product_main_images/small/16137.jpg")</f>
        <v>0.0</v>
      </c>
      <c r="F926" s="2" t="inlineStr">
        <is>
          <t>5999084941697</t>
        </is>
      </c>
      <c r="G926" s="4" t="inlineStr">
        <is>
          <t>Meg akarja világítani belső tereit különleges, lenyűgöző módon?
A KII 100/T pontosan erre kínál önnek lehetőséget! Egy kiváló minőségű, beltéri kivitelű világítási megoldás, melynek 100 türkiz állófényű LED-je ragyogással tölti meg lakását. 
A zöld vezeték jól illeszkedik a karácsonyfa környezetébe, így egy diszkrét és modern vizuális élményt nyújt. 
A beltéri hálózati adapternek köszönhetően, a KII 100/T egyszerűen és biztonságosan csatlakoztatható otthona hálózati aljzataihoz.
Lépjen be egy káprázatosan türkiz világba a KII 100/T-vel és hozzon létre otthonában egy lenyűgöző atmoszférát!</t>
        </is>
      </c>
    </row>
    <row r="927">
      <c r="A927" s="3" t="inlineStr">
        <is>
          <t>KII 200/WH</t>
        </is>
      </c>
      <c r="B927" s="2" t="inlineStr">
        <is>
          <t>Home KII 200/WH LED-es fényfüzér, 16 m / 200 db hidegfehér LED, állófényű, zöld vezeték, hálózati adapter, beltéri kivitel</t>
        </is>
      </c>
      <c r="C927" s="1" t="n">
        <v>6690.0</v>
      </c>
      <c r="D927" s="7" t="n">
        <f>HYPERLINK("https://www.somogyi.hu/product/home-kii-200-wh-led-es-fenyfuzer-16-m-200-db-hidegfeher-led-allofenyu-zold-vezetek-halozati-adapter-belteri-kivitel-kii-200-wh-16138","https://www.somogyi.hu/product/home-kii-200-wh-led-es-fenyfuzer-16-m-200-db-hidegfeher-led-allofenyu-zold-vezetek-halozati-adapter-belteri-kivitel-kii-200-wh-16138")</f>
        <v>0.0</v>
      </c>
      <c r="E927" s="7" t="n">
        <f>HYPERLINK("https://www.somogyi.hu/data/img/product_main_images/small/16138.jpg","https://www.somogyi.hu/data/img/product_main_images/small/16138.jpg")</f>
        <v>0.0</v>
      </c>
      <c r="F927" s="2" t="inlineStr">
        <is>
          <t>5999084941703</t>
        </is>
      </c>
      <c r="G927" s="4" t="inlineStr">
        <is>
          <t>Meg akarja világítani belső tereit különleges, lenyűgöző módon?
A KII 200/WH pontosan erre kínál önnek lehetőséget! Egy kiváló minőségű, beltéri kivitelű világítási megoldás, melynek 200 hidegfehér állófényű LED-je ragyogással tölti meg lakását. 
A zöld vezeték jól illeszkedik a karácsonyfa környezetébe, így egy diszkrét és modern vizuális élményt nyújt. 
A beltéri hálózati adapternek köszönhetően, a KII 200/WH egyszerűen és biztonságosan csatlakoztatható otthona hálózati aljzataihoz.
Lépjen be egy káprázatosan hidegfehér világba a KII 200/WH-val és hozzon létre otthonában egy lenyűgöző atmoszférát!</t>
        </is>
      </c>
    </row>
    <row r="928">
      <c r="A928" s="3" t="inlineStr">
        <is>
          <t>KII 200/WW</t>
        </is>
      </c>
      <c r="B928" s="2" t="inlineStr">
        <is>
          <t>Home KII 200/WW LED-es fényfüzér, 16 m / 200 db melegfehér LED, állófényű, zöld vezeték, hálózati adapter, beltéri kivitel</t>
        </is>
      </c>
      <c r="C928" s="1" t="n">
        <v>6690.0</v>
      </c>
      <c r="D928" s="7" t="n">
        <f>HYPERLINK("https://www.somogyi.hu/product/home-kii-200-ww-led-es-fenyfuzer-16-m-200-db-melegfeher-led-allofenyu-zold-vezetek-halozati-adapter-belteri-kivitel-kii-200-ww-16139","https://www.somogyi.hu/product/home-kii-200-ww-led-es-fenyfuzer-16-m-200-db-melegfeher-led-allofenyu-zold-vezetek-halozati-adapter-belteri-kivitel-kii-200-ww-16139")</f>
        <v>0.0</v>
      </c>
      <c r="E928" s="7" t="n">
        <f>HYPERLINK("https://www.somogyi.hu/data/img/product_main_images/small/16139.jpg","https://www.somogyi.hu/data/img/product_main_images/small/16139.jpg")</f>
        <v>0.0</v>
      </c>
      <c r="F928" s="2" t="inlineStr">
        <is>
          <t>5999084941710</t>
        </is>
      </c>
      <c r="G928" s="4" t="inlineStr">
        <is>
          <t>Meg akarja világítani belső tereit különleges, lenyűgöző módon?
A KII 200/WW pontosan erre kínál önnek lehetőséget! Egy kiváló minőségű, beltéri kivitelű világítási megoldás, melynek 200 melegfehér állófényű LED-je ragyogással tölti meg lakását. 
A zöld vezeték jól illeszkedik a karácsonyfa környezetébe, így egy diszkrét és modern vizuális élményt nyújt. 
A beltéri hálózati adapternek köszönhetően, a KII 200/WW egyszerűen és biztonságosan csatlakoztatható otthona hálózati aljzataihoz.
Lépjen be egy káprázatosan melegfehér világba a KII 200/WW-vel és hozzon létre otthonában egy lenyűgöző atmoszférát!</t>
        </is>
      </c>
    </row>
    <row r="929">
      <c r="A929" s="3" t="inlineStr">
        <is>
          <t>KII 200/M</t>
        </is>
      </c>
      <c r="B929" s="2" t="inlineStr">
        <is>
          <t>Home KII 200/M LED-es fényfüzér, 16 m / 200 db színes LED, állófényű, zöld vezeték, hálózati adapter, beltéri kivitel</t>
        </is>
      </c>
      <c r="C929" s="1" t="n">
        <v>6690.0</v>
      </c>
      <c r="D929" s="7" t="n">
        <f>HYPERLINK("https://www.somogyi.hu/product/home-kii-200-m-led-es-fenyfuzer-16-m-200-db-szines-led-allofenyu-zold-vezetek-halozati-adapter-belteri-kivitel-kii-200-m-16140","https://www.somogyi.hu/product/home-kii-200-m-led-es-fenyfuzer-16-m-200-db-szines-led-allofenyu-zold-vezetek-halozati-adapter-belteri-kivitel-kii-200-m-16140")</f>
        <v>0.0</v>
      </c>
      <c r="E929" s="7" t="n">
        <f>HYPERLINK("https://www.somogyi.hu/data/img/product_main_images/small/16140.jpg","https://www.somogyi.hu/data/img/product_main_images/small/16140.jpg")</f>
        <v>0.0</v>
      </c>
      <c r="F929" s="2" t="inlineStr">
        <is>
          <t>5999084941727</t>
        </is>
      </c>
      <c r="G929" s="4" t="inlineStr">
        <is>
          <t>Meg akarja világítani belső tereit különleges, lenyűgöző módon?
A KII 200/M pontosan erre kínál önnek lehetőséget! Egy kiváló minőségű, beltéri kivitelű világítási megoldás, melynek 200 színes állófényű LED-je ragyogással tölti meg lakását. 
A zöld vezeték jól illeszkedik a karácsonyfa környezetébe, így egy diszkrét és modern vizuális élményt nyújt. 
A beltéri hálózati adapternek köszönhetően, a KII 200/M egyszerűen és biztonságosan csatlakoztatható otthona hálózati aljzataihoz.
Lépjen be egy káprázatosan színes világba a KII 200/M-mel és hozzon létre otthonában egy lenyűgöző atmoszférát!</t>
        </is>
      </c>
    </row>
    <row r="930">
      <c r="A930" s="3" t="inlineStr">
        <is>
          <t>KII 50B/WW</t>
        </is>
      </c>
      <c r="B930" s="2" t="inlineStr">
        <is>
          <t>Home KII 50B/WW LED-es gömb fényfüzér, 4 m / 50 db melegfehér LED, állófényű, zöld vezeték, hálózati adapter, beltéri kivitel</t>
        </is>
      </c>
      <c r="C930" s="1" t="n">
        <v>5490.0</v>
      </c>
      <c r="D930" s="7" t="n">
        <f>HYPERLINK("https://www.somogyi.hu/product/home-kii-50b-ww-led-es-gomb-fenyfuzer-4-m-50-db-melegfeher-led-allofenyu-zold-vezetek-halozati-adapter-belteri-kivitel-kii-50b-ww-16141","https://www.somogyi.hu/product/home-kii-50b-ww-led-es-gomb-fenyfuzer-4-m-50-db-melegfeher-led-allofenyu-zold-vezetek-halozati-adapter-belteri-kivitel-kii-50b-ww-16141")</f>
        <v>0.0</v>
      </c>
      <c r="E930" s="7" t="n">
        <f>HYPERLINK("https://www.somogyi.hu/data/img/product_main_images/small/16141.jpg","https://www.somogyi.hu/data/img/product_main_images/small/16141.jpg")</f>
        <v>0.0</v>
      </c>
      <c r="F930" s="2" t="inlineStr">
        <is>
          <t>5999084941734</t>
        </is>
      </c>
      <c r="G930" s="4" t="inlineStr">
        <is>
          <t>Olyan ünnepi beltéri világítási megoldást keres, amely nem csak praktikus, de esztétikailag is lenyűgöző?
A KII 50B/WW pontosan ilyen: egy beltéri kivitelű, állófényű fényfüzér, melyben 50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50B/WW varázslatos világát és tegye otthonát még hangulatosabbá!</t>
        </is>
      </c>
    </row>
    <row r="931">
      <c r="A931" s="3" t="inlineStr">
        <is>
          <t>KII 50B/M</t>
        </is>
      </c>
      <c r="B931" s="2" t="inlineStr">
        <is>
          <t>Home KII 50B/M LED-es gömb fényfüzér, 4 m / 50 db színes LED, állófényű, zöld vezeték, hálózati adapter, beltéri kivitel</t>
        </is>
      </c>
      <c r="C931" s="1" t="n">
        <v>5490.0</v>
      </c>
      <c r="D931" s="7" t="n">
        <f>HYPERLINK("https://www.somogyi.hu/product/home-kii-50b-m-led-es-gomb-fenyfuzer-4-m-50-db-szines-led-allofenyu-zold-vezetek-halozati-adapter-belteri-kivitel-kii-50b-m-16142","https://www.somogyi.hu/product/home-kii-50b-m-led-es-gomb-fenyfuzer-4-m-50-db-szines-led-allofenyu-zold-vezetek-halozati-adapter-belteri-kivitel-kii-50b-m-16142")</f>
        <v>0.0</v>
      </c>
      <c r="E931" s="7" t="n">
        <f>HYPERLINK("https://www.somogyi.hu/data/img/product_main_images/small/16142.jpg","https://www.somogyi.hu/data/img/product_main_images/small/16142.jpg")</f>
        <v>0.0</v>
      </c>
      <c r="F931" s="2" t="inlineStr">
        <is>
          <t>5999084941741</t>
        </is>
      </c>
      <c r="G931" s="4" t="inlineStr">
        <is>
          <t>Olyan ünnepi beltéri világítási megoldást keres, amely nem csak praktikus, de esztétikailag is lenyűgöző?
A KII 50B/M pontosan ilyen: egy beltéri kivitelű, állófényű fényfüzér, melyben 50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50B/M varázslatos világát és tegye otthonát még hangulatosabbá!</t>
        </is>
      </c>
    </row>
    <row r="932">
      <c r="A932" s="3" t="inlineStr">
        <is>
          <t>MLF 400/WW</t>
        </is>
      </c>
      <c r="B932" s="2" t="inlineStr">
        <is>
          <t>Home MLF 400/WW micro LED-es fényfüggöny, 2x2 m / 400 db melegfehér micro LED, átlátszó vezeték, hálózati adapter, kül- és beltéri kivitel</t>
        </is>
      </c>
      <c r="C932" s="1" t="n">
        <v>9590.0</v>
      </c>
      <c r="D932" s="7" t="n">
        <f>HYPERLINK("https://www.somogyi.hu/product/home-mlf-400-ww-micro-led-es-fenyfuggony-2x2-m-400-db-melegfeher-micro-led-atlatszo-vezetek-halozati-adapter-kul-es-belteri-kivitel-mlf-400-ww-16528","https://www.somogyi.hu/product/home-mlf-400-ww-micro-led-es-fenyfuggony-2x2-m-400-db-melegfeher-micro-led-atlatszo-vezetek-halozati-adapter-kul-es-belteri-kivitel-mlf-400-ww-16528")</f>
        <v>0.0</v>
      </c>
      <c r="E932" s="7" t="n">
        <f>HYPERLINK("https://www.somogyi.hu/data/img/product_main_images/small/16528.jpg","https://www.somogyi.hu/data/img/product_main_images/small/16528.jpg")</f>
        <v>0.0</v>
      </c>
      <c r="F932" s="2" t="inlineStr">
        <is>
          <t>5999084945602</t>
        </is>
      </c>
      <c r="G932" s="4" t="inlineStr">
        <is>
          <t>Micro LED-es fényfüggöny 400 db melegfehér LED-del. Termékünk egyaránt alkalmas kül- és beltéri használatra.</t>
        </is>
      </c>
    </row>
    <row r="933">
      <c r="A933" s="3" t="inlineStr">
        <is>
          <t>MFW 120/WW</t>
        </is>
      </c>
      <c r="B933" s="2" t="inlineStr">
        <is>
          <t>Home MFW 120/WW tüzijáték dekoráció, 120 db microLED, 60 szál, 8 funkció, ismétlődő időzítés, távirányító, kültéri, beltéri</t>
        </is>
      </c>
      <c r="C933" s="1" t="n">
        <v>6990.0</v>
      </c>
      <c r="D933" s="7" t="n">
        <f>HYPERLINK("https://www.somogyi.hu/product/home-mfw-120-ww-tuzijatek-dekoracio-120-db-microled-60-szal-8-funkcio-ismetlodo-idozites-taviranyito-kulteri-belteri-mfw-120-ww-16531","https://www.somogyi.hu/product/home-mfw-120-ww-tuzijatek-dekoracio-120-db-microled-60-szal-8-funkcio-ismetlodo-idozites-taviranyito-kulteri-belteri-mfw-120-ww-16531")</f>
        <v>0.0</v>
      </c>
      <c r="E933" s="7" t="n">
        <f>HYPERLINK("https://www.somogyi.hu/data/img/product_main_images/small/16531.jpg","https://www.somogyi.hu/data/img/product_main_images/small/16531.jpg")</f>
        <v>0.0</v>
      </c>
      <c r="F933" s="2" t="inlineStr">
        <is>
          <t>5999084945633</t>
        </is>
      </c>
      <c r="G933" s="4" t="inlineStr">
        <is>
          <t>Tegye különlegessé az ünnepeket a MFW 120/WW micro-LED tűzijáték dekorációval! 
Ez a lenyűgöző dekoráció minden környezetet csodálatos látvánnyal tölt el, legyen szó kül- vagy beltéri használatról. 
A 120 db melegfehér LED és a szabadon formázható, 17 cm hosszú szálak lehetővé teszik, hogy saját kreatív ötleteit valósítsa meg fényjátékával. 
A 8 funkció és az ismétlődő időzítés gondoskodik az igazán egyedi világítási élményről, míg a távirányítóval egyszerűen vezérelheti a fényerőt és a hangulatot. 
Ne habozzon, tegye még emlékezetesebbé az alkalmakat a MFW 120/WW tűzijáték dekorációval, és varázsolja el mindenkit a fényjáték csodájával!</t>
        </is>
      </c>
    </row>
    <row r="934">
      <c r="A934" s="3" t="inlineStr">
        <is>
          <t>MLF 300/WW</t>
        </is>
      </c>
      <c r="B934" s="2" t="inlineStr">
        <is>
          <t>Home MLF 300/WW micro LED-es cluster fényfüggöny, 3x0,5 m / 300 db melegfehér micro LED, 8 fényprogram, távirányító, hálózati adapter, kül- és beltéri kivitel</t>
        </is>
      </c>
      <c r="C934" s="1" t="n">
        <v>16790.0</v>
      </c>
      <c r="D934" s="7" t="n">
        <f>HYPERLINK("https://www.somogyi.hu/product/home-mlf-300-ww-micro-led-es-cluster-fenyfuggony-3x0-5-m-300-db-melegfeher-micro-led-8-fenyprogram-taviranyito-halozati-adapter-kul-es-belteri-kivitel-mlf-300-ww-16532","https://www.somogyi.hu/product/home-mlf-300-ww-micro-led-es-cluster-fenyfuggony-3x0-5-m-300-db-melegfeher-micro-led-8-fenyprogram-taviranyito-halozati-adapter-kul-es-belteri-kivitel-mlf-300-ww-16532")</f>
        <v>0.0</v>
      </c>
      <c r="E934" s="7" t="n">
        <f>HYPERLINK("https://www.somogyi.hu/data/img/product_main_images/small/16532.jpg","https://www.somogyi.hu/data/img/product_main_images/small/16532.jpg")</f>
        <v>0.0</v>
      </c>
      <c r="F934" s="2" t="inlineStr">
        <is>
          <t>5999084945640</t>
        </is>
      </c>
      <c r="G934" s="4" t="inlineStr">
        <is>
          <t>Micro LED-es cluster fényfüggöny 300 db melegfehér LED-del. Termékünk egyaránt alkalmas kül- és beltéri használatra, 8 funkcióval rendelkezik.</t>
        </is>
      </c>
    </row>
    <row r="935">
      <c r="A935" s="3" t="inlineStr">
        <is>
          <t>ML 250G/WW</t>
        </is>
      </c>
      <c r="B935" s="2" t="inlineStr">
        <is>
          <t>Home ML 250G/WW micro LED-es fényfüzér-köteg, 250 db melegfehér micro LED, 10 ágú, vékony, zöld színű vezeték, hálózati adapter, kül- és beltéri kivitel</t>
        </is>
      </c>
      <c r="C935" s="1" t="n">
        <v>7790.0</v>
      </c>
      <c r="D935" s="7" t="n">
        <f>HYPERLINK("https://www.somogyi.hu/product/home-ml-250g-ww-micro-led-es-fenyfuzer-koteg-250-db-melegfeher-micro-led-10-agu-vekony-zold-szinu-vezetek-halozati-adapter-kul-es-belteri-kivitel-ml-250g-ww-16533","https://www.somogyi.hu/product/home-ml-250g-ww-micro-led-es-fenyfuzer-koteg-250-db-melegfeher-micro-led-10-agu-vekony-zold-szinu-vezetek-halozati-adapter-kul-es-belteri-kivitel-ml-250g-ww-16533")</f>
        <v>0.0</v>
      </c>
      <c r="E935" s="7" t="n">
        <f>HYPERLINK("https://www.somogyi.hu/data/img/product_main_images/small/16533.jpg","https://www.somogyi.hu/data/img/product_main_images/small/16533.jpg")</f>
        <v>0.0</v>
      </c>
      <c r="F935" s="2" t="inlineStr">
        <is>
          <t>5999084945657</t>
        </is>
      </c>
      <c r="G935" s="4" t="inlineStr">
        <is>
          <t>Micro LED-es fényfüzér-köteg 250 db melegfehér, fényesen ragyogó, pontszerű micro LED-del. A fényerő 4 fokozatban (100/75/50/25%)-ban állítható, folyamatos vagy ismétlődő időzítés választható. Zöld vezetékkel, így a fa díszítésére még természetesebb.</t>
        </is>
      </c>
    </row>
    <row r="936">
      <c r="A936" s="3" t="inlineStr">
        <is>
          <t>ML 250G/WH</t>
        </is>
      </c>
      <c r="B936" s="2" t="inlineStr">
        <is>
          <t>Home ML 250G/WH micro LED-es fényfüzér-köteg, 250 db hidegfehér micro LED, 10 ágú, vékony, zöld színű vezeték, hálózati adapter, kül- és beltéri kivitel</t>
        </is>
      </c>
      <c r="C936" s="1" t="n">
        <v>7790.0</v>
      </c>
      <c r="D936" s="7" t="n">
        <f>HYPERLINK("https://www.somogyi.hu/product/home-ml-250g-wh-micro-led-es-fenyfuzer-koteg-250-db-hidegfeher-micro-led-10-agu-vekony-zold-szinu-vezetek-halozati-adapter-kul-es-belteri-kivitel-ml-250g-wh-16986","https://www.somogyi.hu/product/home-ml-250g-wh-micro-led-es-fenyfuzer-koteg-250-db-hidegfeher-micro-led-10-agu-vekony-zold-szinu-vezetek-halozati-adapter-kul-es-belteri-kivitel-ml-250g-wh-16986")</f>
        <v>0.0</v>
      </c>
      <c r="E936" s="7" t="n">
        <f>HYPERLINK("https://www.somogyi.hu/data/img/product_main_images/small/16986.jpg","https://www.somogyi.hu/data/img/product_main_images/small/16986.jpg")</f>
        <v>0.0</v>
      </c>
      <c r="F936" s="2" t="inlineStr">
        <is>
          <t>5999084950187</t>
        </is>
      </c>
      <c r="G936" s="4" t="inlineStr">
        <is>
          <t xml:space="preserve"> • elhelyezhetőség: kültéri / beltéri 
 • fényforrás: micro LED 
 • fényforrások száma: 250 db 
 • fényforrások színe: 250 db hidegfehér, fényesen ragyogó, pontszerű micro LED 
 • funkciók: állítható fényerő (100/75/50/25%) folyamatos üzemmód vagy 6h ON/18h OFF ismétlődő időzítés 
 • vezeték színe: zöld színű, vékony vezeték 
 • méret: 2,4 m 
 • tápellátás: kültéri IP44-es hálózati adapter 
 • egyéb: 10 füzér / füzérenként 25 LED tartozék tapadókorong</t>
        </is>
      </c>
    </row>
    <row r="937">
      <c r="A937" s="3" t="inlineStr">
        <is>
          <t>LC 768/WH</t>
        </is>
      </c>
      <c r="B937" s="2" t="inlineStr">
        <is>
          <t>Home LC 768/WH LED-es cluster fényfüzér 7,5 m / 768 db hidegfehér LED, fekete vezeték, 8 fényprogram, távirányító, hálózati adapter, kül- és beltéri kivitel</t>
        </is>
      </c>
      <c r="C937" s="1" t="n">
        <v>21790.0</v>
      </c>
      <c r="D937" s="7" t="n">
        <f>HYPERLINK("https://www.somogyi.hu/product/home-lc-768-wh-led-es-cluster-fenyfuzer-7-5-m-768-db-hidegfeher-led-fekete-vezetek-8-fenyprogram-taviranyito-halozati-adapter-kul-es-belteri-kivitel-lc-768-wh-17329","https://www.somogyi.hu/product/home-lc-768-wh-led-es-cluster-fenyfuzer-7-5-m-768-db-hidegfeher-led-fekete-vezetek-8-fenyprogram-taviranyito-halozati-adapter-kul-es-belteri-kivitel-lc-768-wh-17329")</f>
        <v>0.0</v>
      </c>
      <c r="E937" s="7" t="n">
        <f>HYPERLINK("https://www.somogyi.hu/data/img/product_main_images/small/17329.jpg","https://www.somogyi.hu/data/img/product_main_images/small/17329.jpg")</f>
        <v>0.0</v>
      </c>
      <c r="F937" s="2" t="inlineStr">
        <is>
          <t>5999084953515</t>
        </is>
      </c>
      <c r="G937" s="4" t="inlineStr">
        <is>
          <t xml:space="preserve"> • elhelyezhetőség: kültéri / beltéri 
 • fényforrás: LED 
 • fényforrások száma: 768 db  
 • fényforrások színe: hidegfehér 
 • funkciók: 8 funkciós, memóriás, állítható fényerő, folyamatos üzemmód vagy 6h ON/18h OFF / 8h ON/16h OFF / 6h ON/6h OFF ismétlődő időzítés 
 • hossz: 7,5 m 
 • tápellátás: kültéri IP44-es adapter 
 • egyéb: távirányítóval (CR2025 elem, tartozék)</t>
        </is>
      </c>
    </row>
    <row r="938">
      <c r="A938" s="3" t="inlineStr">
        <is>
          <t>LC 768/WW</t>
        </is>
      </c>
      <c r="B938" s="2" t="inlineStr">
        <is>
          <t>Home LC 768/WW LED-es cluster fényfüzér 7,5 m / 768 db melegfehér LED, fekete vezeték, 8 fényprogram, távirányító, hálózati adapter, kül- és beltéri kivitel</t>
        </is>
      </c>
      <c r="C938" s="1" t="n">
        <v>21790.0</v>
      </c>
      <c r="D938" s="7" t="n">
        <f>HYPERLINK("https://www.somogyi.hu/product/home-lc-768-ww-led-es-cluster-fenyfuzer-7-5-m-768-db-melegfeher-led-fekete-vezetek-8-fenyprogram-taviranyito-halozati-adapter-kul-es-belteri-kivitel-lc-768-ww-17330","https://www.somogyi.hu/product/home-lc-768-ww-led-es-cluster-fenyfuzer-7-5-m-768-db-melegfeher-led-fekete-vezetek-8-fenyprogram-taviranyito-halozati-adapter-kul-es-belteri-kivitel-lc-768-ww-17330")</f>
        <v>0.0</v>
      </c>
      <c r="E938" s="7" t="n">
        <f>HYPERLINK("https://www.somogyi.hu/data/img/product_main_images/small/17330.jpg","https://www.somogyi.hu/data/img/product_main_images/small/17330.jpg")</f>
        <v>0.0</v>
      </c>
      <c r="F938" s="2" t="inlineStr">
        <is>
          <t>5999084953522</t>
        </is>
      </c>
      <c r="G938" s="4" t="inlineStr">
        <is>
          <t xml:space="preserve"> • elhelyezhetőség: kültéri / beltéri 
 • fényforrás: LED 
 • fényforrások száma: 768 db  
 • fényforrások színe: melegfehér 
 • funkciók: 8 funkciós, memóriás, állítható fényerő, folyamatos üzemmód vagy 6h ON/18h OFF / 8h ON/16h OFF / 6h ON/6h OFF ismétlődő időzítés 
 • hossz: 7,5 m 
 • tápellátás: kültéri IP44-es adapter 
 • egyéb: távirányítóval (CR2025 elem, tartozék)</t>
        </is>
      </c>
    </row>
    <row r="939">
      <c r="A939" s="3" t="inlineStr">
        <is>
          <t>MLC 58/M</t>
        </is>
      </c>
      <c r="B939" s="2" t="inlineStr">
        <is>
          <t>Home MLC 58/M mini LED-es fényfüzér, 4,9 m / 50 db színes LED, 8 fényprogram, zöld vezeték, elemes, kül- és beltéri kivitel</t>
        </is>
      </c>
      <c r="C939" s="1" t="n">
        <v>3690.0</v>
      </c>
      <c r="D939" s="7" t="n">
        <f>HYPERLINK("https://www.somogyi.hu/product/home-mlc-58-m-mini-led-es-fenyfuzer-4-9-m-50-db-szines-led-8-fenyprogram-zold-vezetek-elemes-kul-es-belteri-kivitel-mlc-58-m-17334","https://www.somogyi.hu/product/home-mlc-58-m-mini-led-es-fenyfuzer-4-9-m-50-db-szines-led-8-fenyprogram-zold-vezetek-elemes-kul-es-belteri-kivitel-mlc-58-m-17334")</f>
        <v>0.0</v>
      </c>
      <c r="E939" s="7" t="n">
        <f>HYPERLINK("https://www.somogyi.hu/data/img/product_main_images/small/17334.jpg","https://www.somogyi.hu/data/img/product_main_images/small/17334.jpg")</f>
        <v>0.0</v>
      </c>
      <c r="F939" s="2" t="inlineStr">
        <is>
          <t>5999084953560</t>
        </is>
      </c>
      <c r="G939" s="4" t="inlineStr">
        <is>
          <t>Szeretné megteremteni a tökéletes hangulatot otthonában vagy kertjében? Az MLC 58/M fényfüzérrel ez egyszerűbb, mint valaha!
Ez a kül- és beltéri kivitelű fényfüzér 50 db színes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58/M fényfüzérrel!</t>
        </is>
      </c>
    </row>
    <row r="940">
      <c r="A940" s="3" t="inlineStr">
        <is>
          <t>ML 100 RGB SMART</t>
        </is>
      </c>
      <c r="B940" s="2" t="inlineStr">
        <is>
          <t>Home ML 100 RGB SMART micro LED-es fényfüzér, 10 m / 100 db RGB micro LED, applikációval vezérelhető, USB csatlakozó, beltéri kivitel</t>
        </is>
      </c>
      <c r="C940" s="1" t="n">
        <v>10890.0</v>
      </c>
      <c r="D940" s="7" t="n">
        <f>HYPERLINK("https://www.somogyi.hu/product/home-ml-100-rgb-smart-micro-led-es-fenyfuzer-10-m-100-db-rgb-micro-led-applikacioval-vezerelheto-usb-csatlakozo-belteri-kivitel-ml-100-rgb-smart-17348","https://www.somogyi.hu/product/home-ml-100-rgb-smart-micro-led-es-fenyfuzer-10-m-100-db-rgb-micro-led-applikacioval-vezerelheto-usb-csatlakozo-belteri-kivitel-ml-100-rgb-smart-17348")</f>
        <v>0.0</v>
      </c>
      <c r="E940" s="7" t="n">
        <f>HYPERLINK("https://www.somogyi.hu/data/img/product_main_images/small/17348.jpg","https://www.somogyi.hu/data/img/product_main_images/small/17348.jpg")</f>
        <v>0.0</v>
      </c>
      <c r="F940" s="2" t="inlineStr">
        <is>
          <t>5999084953706</t>
        </is>
      </c>
      <c r="G940" s="4" t="inlineStr">
        <is>
          <t>Fedezze fel az ML 100 RGB SMART beltéri LED világítást, amely az innovatív applikációval vezérelhető funkcióival új szintre emeli otthoni dekorációját!
A 10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100 darab RGB LED ragyogó fényjátékot varázsol otthonába. Praktikus USB tápellátással rendelkezik (az adapter nem tartozék).
Ne hagyja ki a lehetőséget, hogy az ML 100 RGB SMART LED világítással lenyűgöző atmoszférát teremtsen otthonában!</t>
        </is>
      </c>
    </row>
    <row r="941">
      <c r="A941" s="3" t="inlineStr">
        <is>
          <t>ML 200 RGB SMART</t>
        </is>
      </c>
      <c r="B941" s="2" t="inlineStr">
        <is>
          <t>Home ML 200 RGB SMART micro LED-es fényfüzér, 20 m / 200 db RGB micro LED, applikációval vezérelhető, USB csatlakozó, beltéri kivitel</t>
        </is>
      </c>
      <c r="C941" s="1" t="n">
        <v>11890.0</v>
      </c>
      <c r="D941" s="7" t="n">
        <f>HYPERLINK("https://www.somogyi.hu/product/home-ml-200-rgb-smart-micro-led-es-fenyfuzer-20-m-200-db-rgb-micro-led-applikacioval-vezerelheto-usb-csatlakozo-belteri-kivitel-ml-200-rgb-smart-17349","https://www.somogyi.hu/product/home-ml-200-rgb-smart-micro-led-es-fenyfuzer-20-m-200-db-rgb-micro-led-applikacioval-vezerelheto-usb-csatlakozo-belteri-kivitel-ml-200-rgb-smart-17349")</f>
        <v>0.0</v>
      </c>
      <c r="E941" s="7" t="n">
        <f>HYPERLINK("https://www.somogyi.hu/data/img/product_main_images/small/17349.jpg","https://www.somogyi.hu/data/img/product_main_images/small/17349.jpg")</f>
        <v>0.0</v>
      </c>
      <c r="F941" s="2" t="inlineStr">
        <is>
          <t>5999084953713</t>
        </is>
      </c>
      <c r="G941" s="4" t="inlineStr">
        <is>
          <t>Fedezze fel az ML 200 RGB SMART beltéri LED világítást, amely az innovatív applikációval vezérelhető funkcióival új szintre emeli otthoni dekorációját!
A 20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200 darab RGB LED ragyogó fényjátékot varázsol otthonába. Praktikus USB tápellátással rendelkezik (az adapter nem tartozék).
Ne hagyja ki a lehetőséget, hogy az ML 200 RGB SMART LED világítással lenyűgöző atmoszférát teremtsen otthonában!</t>
        </is>
      </c>
    </row>
    <row r="942">
      <c r="A942" s="3" t="inlineStr">
        <is>
          <t>ML 112 RGB</t>
        </is>
      </c>
      <c r="B942" s="2" t="inlineStr">
        <is>
          <t>Home ML 112 RGB micro LED-es fényfüzér, 10 m / 100 db RGB micro LED, 12 fényprogram, távirányító, USB csatlakozó, kül- és beltéri kivitel</t>
        </is>
      </c>
      <c r="C942" s="1" t="n">
        <v>9190.0</v>
      </c>
      <c r="D942" s="7" t="n">
        <f>HYPERLINK("https://www.somogyi.hu/product/home-ml-112-rgb-micro-led-es-fenyfuzer-10-m-100-db-rgb-micro-led-12-fenyprogram-taviranyito-usb-csatlakozo-kul-es-belteri-kivitel-ml-112-rgb-17350","https://www.somogyi.hu/product/home-ml-112-rgb-micro-led-es-fenyfuzer-10-m-100-db-rgb-micro-led-12-fenyprogram-taviranyito-usb-csatlakozo-kul-es-belteri-kivitel-ml-112-rgb-17350")</f>
        <v>0.0</v>
      </c>
      <c r="E942" s="7" t="n">
        <f>HYPERLINK("https://www.somogyi.hu/data/img/product_main_images/small/17350.jpg","https://www.somogyi.hu/data/img/product_main_images/small/17350.jpg")</f>
        <v>0.0</v>
      </c>
      <c r="F942" s="2" t="inlineStr">
        <is>
          <t>5999084953720</t>
        </is>
      </c>
      <c r="G942" s="4" t="inlineStr">
        <is>
          <t>Hozza be otthonába az elbűvölő ML 112 RGB microLED-es fényfüzért, melyet távirányítóval irányíthat, és teremtse meg a tökéletes atmoszférát!
Ez a beltéri fényfüzér egyedülálló világítási élményt kínál, melyet az 100 db RGB LED és a 12 dinamikus, látványos fényeffekt tesz még különlegesebbé. Válassza a 12 állófény közül kedvenc színét, és döntsön az ismétlődő időzítés két lehetősége közül: 4 óra bekapcsolva és 20 óra kikapcsolva, vagy 8 óra bekapcsolva és 16 óra kikapcsolva. A kényelmes USB tápellátás (adapter nélkül) és a mellékelt távirányító (CR2025 elemmel) segítségével könnyedén alakíthatja a hangulatot.
Ne habozzon, válassza az ML 112 RGB microLED-es fényfüzért, és tegye otthonát hangulatosabbá a saját egyéni stílusában!</t>
        </is>
      </c>
    </row>
    <row r="943">
      <c r="A943" s="3" t="inlineStr">
        <is>
          <t>LC 768/M</t>
        </is>
      </c>
      <c r="B943" s="2" t="inlineStr">
        <is>
          <t>Home LC 768/M LED-es cluster fényfüzér 7,5 m / 768 db színes LED, fekete vezeték, 8 fényprogram, távirányító, hálózati adapter, kül- és beltéri kivitel</t>
        </is>
      </c>
      <c r="C943" s="1" t="n">
        <v>21790.0</v>
      </c>
      <c r="D943" s="7" t="n">
        <f>HYPERLINK("https://www.somogyi.hu/product/home-lc-768-m-led-es-cluster-fenyfuzer-7-5-m-768-db-szines-led-fekete-vezetek-8-fenyprogram-taviranyito-halozati-adapter-kul-es-belteri-kivitel-lc-768-m-17503","https://www.somogyi.hu/product/home-lc-768-m-led-es-cluster-fenyfuzer-7-5-m-768-db-szines-led-fekete-vezetek-8-fenyprogram-taviranyito-halozati-adapter-kul-es-belteri-kivitel-lc-768-m-17503")</f>
        <v>0.0</v>
      </c>
      <c r="E943" s="7" t="n">
        <f>HYPERLINK("https://www.somogyi.hu/data/img/product_main_images/small/17503.jpg","https://www.somogyi.hu/data/img/product_main_images/small/17503.jpg")</f>
        <v>0.0</v>
      </c>
      <c r="F943" s="2" t="inlineStr">
        <is>
          <t>5999084955250</t>
        </is>
      </c>
      <c r="G943" s="4" t="inlineStr">
        <is>
          <t xml:space="preserve"> • elhelyezhetőség: kültéri / beltéri 
 • fényforrás: LED 
 • fényforrások száma: 768 db  
 • fényforrások színe: színes 
 • funkciók: 8 funkciós, memóriás, állítható fényerő, folyamatos üzemmód vagy 6h ON/18h OFF / 8h ON/16h OFF / 6h ON/6h OFF ismétlődő időzítés 
 • hossz: 7,5 m 
 • tápellátás: kültéri IP44-es adapter 
 • egyéb: távirányítóval (CR2025 elem, tartozék)</t>
        </is>
      </c>
    </row>
    <row r="944">
      <c r="A944" s="3" t="inlineStr">
        <is>
          <t>LEDS096V</t>
        </is>
      </c>
      <c r="B944" s="2" t="inlineStr">
        <is>
          <t>iSparkle LEDS096V LED-es fényfüzér, 9,5 m / 96 db RGB LED, applikációval vezérelhető, smart, kül- és beltéri kivitel</t>
        </is>
      </c>
      <c r="C944" s="1" t="n">
        <v>21090.0</v>
      </c>
      <c r="D944" s="7" t="n">
        <f>HYPERLINK("https://www.somogyi.hu/product/isparkle-leds096v-led-es-fenyfuzer-9-5-m-96-db-rgb-led-applikacioval-vezerelheto-smart-kul-es-belteri-kivitel-leds096v-17711","https://www.somogyi.hu/product/isparkle-leds096v-led-es-fenyfuzer-9-5-m-96-db-rgb-led-applikacioval-vezerelheto-smart-kul-es-belteri-kivitel-leds096v-17711")</f>
        <v>0.0</v>
      </c>
      <c r="E944" s="7" t="n">
        <f>HYPERLINK("https://www.somogyi.hu/data/img/product_main_images/small/17711.jpg","https://www.somogyi.hu/data/img/product_main_images/small/17711.jpg")</f>
        <v>0.0</v>
      </c>
      <c r="F944" s="2" t="inlineStr">
        <is>
          <t>5999084957339</t>
        </is>
      </c>
      <c r="G944" s="4" t="inlineStr">
        <is>
          <t>Az iSparkle LEDS096V LED-es fényfüzér egyedülálló módon ötvözi a színek gazdagságát és a vezérlés egyszerűségét. A fényfüzér beltéri és kültéri használatra is ideális, varázslatos hangulatot teremt minden környezetben.
A 9,5 méteren elhelyezkedő 96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LEDS096V LED-es fényfűzér sokszínű világát, és teremtsen tökéletes atmoszférát otthonában vagy kertjében!</t>
        </is>
      </c>
    </row>
    <row r="945">
      <c r="A945" s="3" t="inlineStr">
        <is>
          <t>LEDS198V</t>
        </is>
      </c>
      <c r="B945" s="2" t="inlineStr">
        <is>
          <t>iSparkle LEDS198V LED-es fényfüzér, 19,7 m / 198 db RGB LED, applikációval vezérelhető, smart, kül- és beltéri kivitel</t>
        </is>
      </c>
      <c r="C945" s="1" t="n">
        <v>30390.0</v>
      </c>
      <c r="D945" s="7" t="n">
        <f>HYPERLINK("https://www.somogyi.hu/product/isparkle-leds198v-led-es-fenyfuzer-19-7-m-198-db-rgb-led-applikacioval-vezerelheto-smart-kul-es-belteri-kivitel-leds198v-17712","https://www.somogyi.hu/product/isparkle-leds198v-led-es-fenyfuzer-19-7-m-198-db-rgb-led-applikacioval-vezerelheto-smart-kul-es-belteri-kivitel-leds198v-17712")</f>
        <v>0.0</v>
      </c>
      <c r="E945" s="7" t="n">
        <f>HYPERLINK("https://www.somogyi.hu/data/img/product_main_images/small/17712.jpg","https://www.somogyi.hu/data/img/product_main_images/small/17712.jpg")</f>
        <v>0.0</v>
      </c>
      <c r="F945" s="2" t="inlineStr">
        <is>
          <t>5999084957346</t>
        </is>
      </c>
      <c r="G945" s="4" t="inlineStr">
        <is>
          <t>Az iSparkle LEDS198V LED-es fényfüzér egyedülálló módon ötvözi a színek gazdagságát és a vezérlés egyszerűségét. Hangulatot teremt és modern dizájnt kínál. A fényfüzér beltéri és kültéri használatra is ideális, varázslatos hangulatot teremt minden környezetben.
A 19,7 méteren elhelyezkedő 198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LEDS198V LED-es fényfüzér sokszínű világát, és teremtsen tökéletes atmoszférát otthonában vagy kertjében!</t>
        </is>
      </c>
    </row>
    <row r="946">
      <c r="A946" s="3" t="inlineStr">
        <is>
          <t>LEDS120DV</t>
        </is>
      </c>
      <c r="B946" s="2" t="inlineStr">
        <is>
          <t>iSparkle LEDS120DV LED-es fényfüzér, 11,9 m / 120 db RGB LED, gömb, applikációval vezérelhető, smart, kül- és beltéri kivitel</t>
        </is>
      </c>
      <c r="C946" s="1" t="n">
        <v>25490.0</v>
      </c>
      <c r="D946" s="7" t="n">
        <f>HYPERLINK("https://www.somogyi.hu/product/isparkle-leds120dv-led-es-fenyfuzer-11-9-m-120-db-rgb-led-gomb-applikacioval-vezerelheto-smart-kul-es-belteri-kivitel-leds120dv-17713","https://www.somogyi.hu/product/isparkle-leds120dv-led-es-fenyfuzer-11-9-m-120-db-rgb-led-gomb-applikacioval-vezerelheto-smart-kul-es-belteri-kivitel-leds120dv-17713")</f>
        <v>0.0</v>
      </c>
      <c r="E946" s="7" t="n">
        <f>HYPERLINK("https://www.somogyi.hu/data/img/product_main_images/small/17713.jpg","https://www.somogyi.hu/data/img/product_main_images/small/17713.jpg")</f>
        <v>0.0</v>
      </c>
      <c r="F946" s="2" t="inlineStr">
        <is>
          <t>5999084957353</t>
        </is>
      </c>
      <c r="G946" s="4" t="inlineStr">
        <is>
          <t>Az iSparkle LEDS120DV LED-es fényfüzér egyedülálló módon ötvözi a színek gazdagságát és a vezérlés egyszerűségét. Hangulatot teremt és modern dizájnt kínál. A fényfüzér beltéri és kültéri használatra is ideális, varázslatos hangulatot teremt minden környezetben.
A 11,9 méteren elhelyezkedő 120 darab 1,5 cm-es gömb alakú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LEDS120DV LED-es fényfűzér sokszínű világát, és teremtsen tökéletes atmoszférát otthonában vagy kertjében!</t>
        </is>
      </c>
    </row>
    <row r="947">
      <c r="A947" s="3" t="inlineStr">
        <is>
          <t>LEDS120CV</t>
        </is>
      </c>
      <c r="B947" s="2" t="inlineStr">
        <is>
          <t>iSparkle LEDS120CV LED-es fényfüggöny, 1,5x2 m / 120 db RGB LED, applikációval vezérelhető, smart, kül- és beltéri kivitel</t>
        </is>
      </c>
      <c r="C947" s="1" t="n">
        <v>26190.0</v>
      </c>
      <c r="D947" s="7" t="n">
        <f>HYPERLINK("https://www.somogyi.hu/product/isparkle-leds120cv-led-es-fenyfuggony-1-5x2-m-120-db-rgb-led-applikacioval-vezerelheto-smart-kul-es-belteri-kivitel-leds120cv-17714","https://www.somogyi.hu/product/isparkle-leds120cv-led-es-fenyfuggony-1-5x2-m-120-db-rgb-led-applikacioval-vezerelheto-smart-kul-es-belteri-kivitel-leds120cv-17714")</f>
        <v>0.0</v>
      </c>
      <c r="E947" s="7" t="n">
        <f>HYPERLINK("https://www.somogyi.hu/data/img/product_main_images/small/17714.jpg","https://www.somogyi.hu/data/img/product_main_images/small/17714.jpg")</f>
        <v>0.0</v>
      </c>
      <c r="F947" s="2" t="inlineStr">
        <is>
          <t>5999084957360</t>
        </is>
      </c>
      <c r="G947" s="4" t="inlineStr">
        <is>
          <t>Az iSparkle LEDS120CV LED-es fényfüggöny egyedülálló módon ötvözi a színek gazdagságát és a vezérlés egyszerűségét. Hangulatot teremt és modern dizájnt kínál. A fényfüzér beltéri és kültéri használatra is ideális, varázslatos hangulatot teremt minden környezetben.
A 10 füzéren elhelyezkedő 120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LEDS120CV LED-es fényfüggöny sokszínű világát, és teremtsen tökéletes atmoszférát otthonában vagy kertjében!</t>
        </is>
      </c>
    </row>
    <row r="948">
      <c r="A948" s="3" t="inlineStr">
        <is>
          <t>LEDS108IV-1</t>
        </is>
      </c>
      <c r="B948" s="2" t="inlineStr">
        <is>
          <t>iSparkle LEDS108IV-1 LED-es fényfüggöny, 3 m / 108 db RGB LED, applikációval vezérelhető, smart, kül- és beltéri kivitel</t>
        </is>
      </c>
      <c r="C948" s="1" t="n">
        <v>24090.0</v>
      </c>
      <c r="D948" s="7" t="n">
        <f>HYPERLINK("https://www.somogyi.hu/product/isparkle-leds108iv-1-led-es-fenyfuggony-3-m-108-db-rgb-led-applikacioval-vezerelheto-smart-kul-es-belteri-kivitel-leds108iv-1-17715","https://www.somogyi.hu/product/isparkle-leds108iv-1-led-es-fenyfuggony-3-m-108-db-rgb-led-applikacioval-vezerelheto-smart-kul-es-belteri-kivitel-leds108iv-1-17715")</f>
        <v>0.0</v>
      </c>
      <c r="E948" s="7" t="n">
        <f>HYPERLINK("https://www.somogyi.hu/data/img/product_main_images/small/17715.jpg","https://www.somogyi.hu/data/img/product_main_images/small/17715.jpg")</f>
        <v>0.0</v>
      </c>
      <c r="F948" s="2" t="inlineStr">
        <is>
          <t>5999084957377</t>
        </is>
      </c>
      <c r="G948" s="4" t="inlineStr">
        <is>
          <t>Az iSparkle LEDS108IV-1 LED-es fényfüggöny egyedülálló módon ötvözi a színek gazdagságát és a vezérlés egyszerűségét. A fényfűzér beltéri és kültéri használatra is ideális, varázslatos hangulatot teremt minden környezetben.
A 24 füzéren elhelyezkedő 108 darab RGB LED sokszínű skálát kínál, hogy minden alkalomhoz tökéletes megjelenést varázsolhasson. A füzéreken felváltva 6 és 3 RGB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LEDS108IV-1 LED-es fényfüggöny sokszínű világát, és teremtsen tökéletes atmoszférát otthonában vagy kertjében!</t>
        </is>
      </c>
    </row>
    <row r="949">
      <c r="A949" s="3" t="inlineStr">
        <is>
          <t>LEDS120V-C</t>
        </is>
      </c>
      <c r="B949" s="2" t="inlineStr">
        <is>
          <t>iSparkle LEDS120V-C micro LED-es cluster fényfüzér, 3 m / 120 db RGB LED, applikációval vezérelhető, smart, kül- és beltéri kivitel</t>
        </is>
      </c>
      <c r="C949" s="1" t="n">
        <v>29890.0</v>
      </c>
      <c r="D949" s="7" t="n">
        <f>HYPERLINK("https://www.somogyi.hu/product/isparkle-leds120v-c-micro-led-es-cluster-fenyfuzer-3-m-120-db-rgb-led-applikacioval-vezerelheto-smart-kul-es-belteri-kivitel-leds120v-c-17716","https://www.somogyi.hu/product/isparkle-leds120v-c-micro-led-es-cluster-fenyfuzer-3-m-120-db-rgb-led-applikacioval-vezerelheto-smart-kul-es-belteri-kivitel-leds120v-c-17716")</f>
        <v>0.0</v>
      </c>
      <c r="E949" s="7" t="n">
        <f>HYPERLINK("https://www.somogyi.hu/data/img/product_main_images/small/17716.jpg","https://www.somogyi.hu/data/img/product_main_images/small/17716.jpg")</f>
        <v>0.0</v>
      </c>
      <c r="F949" s="2" t="inlineStr">
        <is>
          <t>5999084957384</t>
        </is>
      </c>
      <c r="G949" s="4" t="inlineStr">
        <is>
          <t>Az iSparkle LEDS120V-C micro LED-es cluster fényfüzér egyedülálló módon ötvözi a színek gazdagságát és a vezérlés egyszerűségét. Hangulatot teremt és modern dizájnt kínál. A fényfűzér beltéri és kültéri használatra is ideális, varázslatos hangulatot teremt minden környezetben.
A 3 méteren elhelyezkedő 120 darab RGB micro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LEDS120V-C micro LED-es cluster fényfüzér sokszínű világát, és teremtsen tökéletes atmoszférát otthonában vagy kertjében!</t>
        </is>
      </c>
    </row>
    <row r="950">
      <c r="A950" s="3" t="inlineStr">
        <is>
          <t>LEDS120CV-2</t>
        </is>
      </c>
      <c r="B950" s="2" t="inlineStr">
        <is>
          <t>iSparkle LEDS120CV-2 micro LED-es fényfüggöny, 2x2 m / 120 db RGB LED, applikációval vezérelhető, smart, kül- és beltéri kivitel</t>
        </is>
      </c>
      <c r="C950" s="1" t="n">
        <v>32990.0</v>
      </c>
      <c r="D950" s="7" t="n">
        <f>HYPERLINK("https://www.somogyi.hu/product/isparkle-leds120cv-2-micro-led-es-fenyfuggony-2x2-m-120-db-rgb-led-applikacioval-vezerelheto-smart-kul-es-belteri-kivitel-leds120cv-2-17717","https://www.somogyi.hu/product/isparkle-leds120cv-2-micro-led-es-fenyfuggony-2x2-m-120-db-rgb-led-applikacioval-vezerelheto-smart-kul-es-belteri-kivitel-leds120cv-2-17717")</f>
        <v>0.0</v>
      </c>
      <c r="E950" s="7" t="n">
        <f>HYPERLINK("https://www.somogyi.hu/data/img/product_main_images/small/17717.jpg","https://www.somogyi.hu/data/img/product_main_images/small/17717.jpg")</f>
        <v>0.0</v>
      </c>
      <c r="F950" s="2" t="inlineStr">
        <is>
          <t>5999084957391</t>
        </is>
      </c>
      <c r="G950" s="4" t="inlineStr">
        <is>
          <t>Az iSparkle LEDS120CV-2 micro LED-es fényfüggöny egyedülálló módon ötvözi a színek gazdagságát és a vezérlés egyszerűségét. Hangulatot teremt és modern dizájnt kínál. A fényfüzér beltéri és kültéri használatra is ideális, varázslatos hangulatot teremt minden környezetben.
A 6 füzéren elhelyezkedő 120 darab RGB microLED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LEDS120CV-2 micro LED-es fényfüggöny sokszínű világát, és teremtsen tökéletes atmoszférát otthonában vagy kertjében!</t>
        </is>
      </c>
    </row>
    <row r="951">
      <c r="A951" s="3" t="inlineStr">
        <is>
          <t>LEDS144C-APP</t>
        </is>
      </c>
      <c r="B951" s="2" t="inlineStr">
        <is>
          <t>iSparkle LEDS144C-APP LED-es fényfüzérköteg, 144 db RGB LED, applikációval vezérelhető, smart, kül- és beltéri kivitel</t>
        </is>
      </c>
      <c r="C951" s="1" t="n">
        <v>27790.0</v>
      </c>
      <c r="D951" s="7" t="n">
        <f>HYPERLINK("https://www.somogyi.hu/product/isparkle-leds144c-app-led-es-fenyfuzerkoteg-144-db-rgb-led-applikacioval-vezerelheto-smart-kul-es-belteri-kivitel-leds144c-app-17718","https://www.somogyi.hu/product/isparkle-leds144c-app-led-es-fenyfuzerkoteg-144-db-rgb-led-applikacioval-vezerelheto-smart-kul-es-belteri-kivitel-leds144c-app-17718")</f>
        <v>0.0</v>
      </c>
      <c r="E951" s="7" t="n">
        <f>HYPERLINK("https://www.somogyi.hu/data/img/product_main_images/small/17718.jpg","https://www.somogyi.hu/data/img/product_main_images/small/17718.jpg")</f>
        <v>0.0</v>
      </c>
      <c r="F951" s="2" t="inlineStr">
        <is>
          <t>5999084957407</t>
        </is>
      </c>
      <c r="G951" s="4" t="inlineStr">
        <is>
          <t>Az iSparkle LEDS144C-APP LED-es fényfüzérköteg egyedülálló módon ötvözi a színek gazdagságát és a vezérlés egyszerűségét. Hangulatot teremt és modern dizájnt kínál. A fényfüzér beltéri és kültéri használatra is ideális, varázslatos hangulatot teremt minden környezetben.
Az 144 darab RGB LED sokszínű skálát kínál, hogy minden alkalomhoz tökéletes megjelenést varázsolhasson. Az egy pontból induló 8 darab füzér egyenként 1,8 méter hosszú, mindegyiken 18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LEDS144C-APP LED-es fényfüzérköteg sokszínű világát, és teremtsen tökéletes atmoszférát otthonában vagy kertjében!</t>
        </is>
      </c>
    </row>
    <row r="952">
      <c r="A952" s="3" t="inlineStr">
        <is>
          <t>MLF 200/WW</t>
        </is>
      </c>
      <c r="B952" s="2" t="inlineStr">
        <is>
          <t>Home MLF 200/WW micro LED-es fényfüggöny, 3x2 m / 200 db melegfehér micro LED, 8 fényprogram, távirányító, USB csatlakozó, beltéri kivitel</t>
        </is>
      </c>
      <c r="C952" s="1" t="n">
        <v>7290.0</v>
      </c>
      <c r="D952" s="7" t="n">
        <f>HYPERLINK("https://www.somogyi.hu/product/home-mlf-200-ww-micro-led-es-fenyfuggony-3x2-m-200-db-melegfeher-micro-led-8-fenyprogram-taviranyito-usb-csatlakozo-belteri-kivitel-mlf-200-ww-17720","https://www.somogyi.hu/product/home-mlf-200-ww-micro-led-es-fenyfuggony-3x2-m-200-db-melegfeher-micro-led-8-fenyprogram-taviranyito-usb-csatlakozo-belteri-kivitel-mlf-200-ww-17720")</f>
        <v>0.0</v>
      </c>
      <c r="E952" s="7" t="n">
        <f>HYPERLINK("https://www.somogyi.hu/data/img/product_main_images/small/17720.jpg","https://www.somogyi.hu/data/img/product_main_images/small/17720.jpg")</f>
        <v>0.0</v>
      </c>
      <c r="F952" s="2" t="inlineStr">
        <is>
          <t>5999084957421</t>
        </is>
      </c>
      <c r="G952" s="4" t="inlineStr">
        <is>
          <t xml:space="preserve"> • elhelyezhetőség: beltéri 
 • fényforrás: micro LED 
 • fényforrások száma: 200 db 
 • fényforrások színe: melegfehér 
 • funkciók: távirányítóval vezérelt: 8 fényprogram, ismétlődő időzítés (6 h ON / 18 h OFF), állítható fényerő 
 • méret: 3 m x 2 m 
 • tápellátás: USB (adapter nem tartozék) 
 • egyéb: 10 füzér, füzérenként 20 LED</t>
        </is>
      </c>
    </row>
    <row r="953">
      <c r="A953" s="3" t="inlineStr">
        <is>
          <t>MLF 200/WH</t>
        </is>
      </c>
      <c r="B953" s="2" t="inlineStr">
        <is>
          <t>Home MLF 200/WH micro LED-es fényfüggöny, 3x2 m / 200 db hidegfehér micro LED, 8 fényprogram, távirányító, USB csatlakozó, beltéri kivitel</t>
        </is>
      </c>
      <c r="C953" s="1" t="n">
        <v>7290.0</v>
      </c>
      <c r="D953" s="7" t="n">
        <f>HYPERLINK("https://www.somogyi.hu/product/home-mlf-200-wh-micro-led-es-fenyfuggony-3x2-m-200-db-hidegfeher-micro-led-8-fenyprogram-taviranyito-usb-csatlakozo-belteri-kivitel-mlf-200-wh-17721","https://www.somogyi.hu/product/home-mlf-200-wh-micro-led-es-fenyfuggony-3x2-m-200-db-hidegfeher-micro-led-8-fenyprogram-taviranyito-usb-csatlakozo-belteri-kivitel-mlf-200-wh-17721")</f>
        <v>0.0</v>
      </c>
      <c r="E953" s="7" t="n">
        <f>HYPERLINK("https://www.somogyi.hu/data/img/product_main_images/small/17721.jpg","https://www.somogyi.hu/data/img/product_main_images/small/17721.jpg")</f>
        <v>0.0</v>
      </c>
      <c r="F953" s="2" t="inlineStr">
        <is>
          <t>5999084957438</t>
        </is>
      </c>
      <c r="G953" s="4" t="inlineStr">
        <is>
          <t xml:space="preserve"> • elhelyezhetőség: beltéri 
 • fényforrás: micro LED 
 • fényforrások száma: 200 db 
 • fényforrások színe: hidegfehér 
 • funkciók: távirányítóval vezérelt: 8 fényprogram, ismétlődő időzítés (6 h ON / 18 h OFF), állítható fényerő 
 • méret: 3 m x 2 m 
 • tápellátás: USB (adapter nem tartozék) 
 • egyéb: 10 füzér, füzérenként 20 LED</t>
        </is>
      </c>
    </row>
    <row r="954">
      <c r="A954" s="3" t="inlineStr">
        <is>
          <t>MLF 240 RGB SMART</t>
        </is>
      </c>
      <c r="B954" s="2" t="inlineStr">
        <is>
          <t>Home MLF 240 RGB SMART micro LED-es fényfüggöny, 3x2,4 m / 240 RGB micro LED, smart, távirányító, USB csatlakozó, beltéri kivitel</t>
        </is>
      </c>
      <c r="C954" s="1" t="n">
        <v>26390.0</v>
      </c>
      <c r="D954" s="7" t="n">
        <f>HYPERLINK("https://www.somogyi.hu/product/home-mlf-240-rgb-smart-micro-led-es-fenyfuggony-3x2-4-m-240-rgb-micro-led-smart-taviranyito-usb-csatlakozo-belteri-kivitel-mlf-240-rgb-smart-17722","https://www.somogyi.hu/product/home-mlf-240-rgb-smart-micro-led-es-fenyfuggony-3x2-4-m-240-rgb-micro-led-smart-taviranyito-usb-csatlakozo-belteri-kivitel-mlf-240-rgb-smart-17722")</f>
        <v>0.0</v>
      </c>
      <c r="E954" s="7" t="n">
        <f>HYPERLINK("https://www.somogyi.hu/data/img/product_main_images/small/17722.jpg","https://www.somogyi.hu/data/img/product_main_images/small/17722.jpg")</f>
        <v>0.0</v>
      </c>
      <c r="F954" s="2" t="inlineStr">
        <is>
          <t>5999084957445</t>
        </is>
      </c>
      <c r="G954" s="4" t="inlineStr">
        <is>
          <t>Helyezze el otthonában a MLF 240 RGB SMART microLED-es Smart fényfüggönyt, mely a kreatív dekorációt és modern technológiát ötvözi.
Ez a beltéri kivitelű függöny 240 darab RGB microLED-del rendelkezik, melyek 10 füzéren oszlanak el, mindegyik füzérben 24 LED található. A vezérlés egyszerűen és kényelmesen lehetséges távirányítóval vagy applikációval, lehetőséget adva 16 fix szín, 8 dinamikus üzemmód, időzítők, fényerő és sebesség kiválasztására. Az USB tápellátás könnyű és rugalmas használatot biztosít.
Fedezze fel a MLF 240 RGB SMART fényfüggöny kreatív világát, és tegye otthonát egyedivé és varázslatossá!</t>
        </is>
      </c>
    </row>
    <row r="955">
      <c r="A955" s="3" t="inlineStr">
        <is>
          <t>LED 100/A</t>
        </is>
      </c>
      <c r="B955" s="2" t="inlineStr">
        <is>
          <t>Home LED 100/A LED-es fényfüzér, 9,9 m / 100 db borostyán színű LED, állófényű, zöld vezeték, hálózati adapter, kül- és beltéri kivitel</t>
        </is>
      </c>
      <c r="C955" s="1" t="n">
        <v>7990.0</v>
      </c>
      <c r="D955" s="7" t="n">
        <f>HYPERLINK("https://www.somogyi.hu/product/home-led-100-a-led-es-fenyfuzer-9-9-m-100-db-borostyan-szinu-led-allofenyu-zold-vezetek-halozati-adapter-kul-es-belteri-kivitel-led-100-a-17730","https://www.somogyi.hu/product/home-led-100-a-led-es-fenyfuzer-9-9-m-100-db-borostyan-szinu-led-allofenyu-zold-vezetek-halozati-adapter-kul-es-belteri-kivitel-led-100-a-17730")</f>
        <v>0.0</v>
      </c>
      <c r="E955" s="7" t="n">
        <f>HYPERLINK("https://www.somogyi.hu/data/img/product_main_images/small/17730.jpg","https://www.somogyi.hu/data/img/product_main_images/small/17730.jpg")</f>
        <v>0.0</v>
      </c>
      <c r="F955" s="2" t="inlineStr">
        <is>
          <t>5999084957520</t>
        </is>
      </c>
      <c r="G955" s="4" t="inlineStr">
        <is>
          <t>Szeretne egy ünnepi világítást, amely egyaránt kiszolgálja otthona belső és külső tereit? A LED 100/A a tökéletes választás azoknak, akik egy univerzális világítási megoldást keresnek. 
A termék 100 borostyán színű, állófényű LED-del rendelkezik, melyek ragyogó, meleg hangulatot teremtenek. 
A zöld vezeték láthatatlanul olvad bele a növényzetbe vagy díszítésbe, így a LED-ek előtérbe kerülnek. 
Az egyik legpraktikusabb jellemzője a 6 óra bekapcsolt és 18 óra kikapcsolt állapotú ismétlődő időzítés, melynek használatával nem kell naponta foglalkoznia a be- és kikapcsolással. 
Ráadásul a kültéri IP44-es adapternek köszönhetően az időjárás viszontagságai ellen is védett.
Engedje meg, hogy az LED 100/A elvarázsolja otthonát, és élvezze a meleg, borostyánfényű ragyogást minden napszakban!</t>
        </is>
      </c>
    </row>
    <row r="956">
      <c r="A956" s="3" t="inlineStr">
        <is>
          <t>ML 160/WH</t>
        </is>
      </c>
      <c r="B956" s="2" t="inlineStr">
        <is>
          <t>Home ML 160/WH micro LED-es fényfüzér, 15,9 m / 160 db hidegfehér micro LED, állófényű, vékony vezeték, hálózati adapter, kül- és beltéri kivitel</t>
        </is>
      </c>
      <c r="C956" s="1" t="n">
        <v>5790.0</v>
      </c>
      <c r="D956" s="7" t="n">
        <f>HYPERLINK("https://www.somogyi.hu/product/home-ml-160-wh-micro-led-es-fenyfuzer-15-9-m-160-db-hidegfeher-micro-led-allofenyu-vekony-vezetek-halozati-adapter-kul-es-belteri-kivitel-ml-160-wh-17731","https://www.somogyi.hu/product/home-ml-160-wh-micro-led-es-fenyfuzer-15-9-m-160-db-hidegfeher-micro-led-allofenyu-vekony-vezetek-halozati-adapter-kul-es-belteri-kivitel-ml-160-wh-17731")</f>
        <v>0.0</v>
      </c>
      <c r="E956" s="7" t="n">
        <f>HYPERLINK("https://www.somogyi.hu/data/img/product_main_images/small/17731.jpg","https://www.somogyi.hu/data/img/product_main_images/small/17731.jpg")</f>
        <v>0.0</v>
      </c>
      <c r="F956" s="2" t="inlineStr">
        <is>
          <t>5999084957537</t>
        </is>
      </c>
      <c r="G956" s="4" t="inlineStr">
        <is>
          <t xml:space="preserve"> • elhelyezhetőség: kültéri / beltéri 
 • fényforrás: micro LED 
 • fényforrások száma: 160 db 
 • fényforrások színe: hidegfehér 
 • hossz: fényfüzér: 15,9 m, tápvezeték: 3 m 
 • tápellátás: IP44 kültéri hálózati adapter 
 • egyéb: vékony vezeték • fényesen ragyogó, pontszerű micro LED</t>
        </is>
      </c>
    </row>
    <row r="957">
      <c r="A957" s="3" t="inlineStr">
        <is>
          <t>ML 160/WW</t>
        </is>
      </c>
      <c r="B957" s="2" t="inlineStr">
        <is>
          <t>Home ML 160/WW micro LED-es fényfüzér, 15,9 m / 160 db melegfehér micro LED, állófényű, vékony vezeték, hálózati adapter, kül- és beltéri kivitel</t>
        </is>
      </c>
      <c r="C957" s="1" t="n">
        <v>5790.0</v>
      </c>
      <c r="D957" s="7" t="n">
        <f>HYPERLINK("https://www.somogyi.hu/product/home-ml-160-ww-micro-led-es-fenyfuzer-15-9-m-160-db-melegfeher-micro-led-allofenyu-vekony-vezetek-halozati-adapter-kul-es-belteri-kivitel-ml-160-ww-17732","https://www.somogyi.hu/product/home-ml-160-ww-micro-led-es-fenyfuzer-15-9-m-160-db-melegfeher-micro-led-allofenyu-vekony-vezetek-halozati-adapter-kul-es-belteri-kivitel-ml-160-ww-17732")</f>
        <v>0.0</v>
      </c>
      <c r="E957" s="7" t="n">
        <f>HYPERLINK("https://www.somogyi.hu/data/img/product_main_images/small/17732.jpg","https://www.somogyi.hu/data/img/product_main_images/small/17732.jpg")</f>
        <v>0.0</v>
      </c>
      <c r="F957" s="2" t="inlineStr">
        <is>
          <t>5999084957544</t>
        </is>
      </c>
      <c r="G957" s="4" t="inlineStr">
        <is>
          <t xml:space="preserve"> • elhelyezhetőség: kültéri / beltéri 
 • fényforrás: micro LED 
 • fényforrások száma: 160 db 
 • fényforrások színe: melegfehér 
 • hossz: fényfüzér: 15,9 m, tápvezeték: 3 m 
 • tápellátás: IP44 kültéri hálózati adapter 
 • egyéb: vékony vezeték • fényesen ragyogó, pontszerű micro LED</t>
        </is>
      </c>
    </row>
    <row r="958">
      <c r="A958" s="3" t="inlineStr">
        <is>
          <t>ML 30/WH</t>
        </is>
      </c>
      <c r="B958" s="2" t="inlineStr">
        <is>
          <t>Home ML 30/WH micro LED-es fényfüzér, 2,9 m / 30 db hidegfehér micro LED, állófényű, kapcsolható és időzíthető, átlátszó vezeték, elemes, beltéri kivitel</t>
        </is>
      </c>
      <c r="C958" s="1" t="n">
        <v>1050.0</v>
      </c>
      <c r="D958" s="7" t="n">
        <f>HYPERLINK("https://www.somogyi.hu/product/home-ml-30-wh-micro-led-es-fenyfuzer-2-9-m-30-db-hidegfeher-micro-led-allofenyu-kapcsolhato-es-idozitheto-atlatszo-vezetek-elemes-belteri-kivitel-ml-30-wh-17733","https://www.somogyi.hu/product/home-ml-30-wh-micro-led-es-fenyfuzer-2-9-m-30-db-hidegfeher-micro-led-allofenyu-kapcsolhato-es-idozitheto-atlatszo-vezetek-elemes-belteri-kivitel-ml-30-wh-17733")</f>
        <v>0.0</v>
      </c>
      <c r="E958" s="7" t="n">
        <f>HYPERLINK("https://www.somogyi.hu/data/img/product_main_images/small/17733.jpg","https://www.somogyi.hu/data/img/product_main_images/small/17733.jpg")</f>
        <v>0.0</v>
      </c>
      <c r="F958" s="2" t="inlineStr">
        <is>
          <t>5999084957551</t>
        </is>
      </c>
      <c r="G958" s="4" t="inlineStr">
        <is>
          <t>Akár egy romantikus vacsora, akár egy pihentető esti lazulás, a megfelelő világítás mindig kulcsfontosságú.
Az ML 30/WH pont ezt kínálja: egy beltéri fényfüzér 30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30/WH fényfüzérrel, és élvezze a hidegfehér micro-LED-ek által teremtett csodálatos atmoszférát!</t>
        </is>
      </c>
    </row>
    <row r="959">
      <c r="A959" s="3" t="inlineStr">
        <is>
          <t>ML 30/WW</t>
        </is>
      </c>
      <c r="B959" s="2" t="inlineStr">
        <is>
          <t>Home ML 30/WW micro LED-es fényfüzér, 2,9 m / 30 db melegfehér micro LED, állófényű, kapcsolható és időzíthető, átlátszó vezeték, elemes, beltéri kivitel</t>
        </is>
      </c>
      <c r="C959" s="1" t="n">
        <v>1050.0</v>
      </c>
      <c r="D959" s="7" t="n">
        <f>HYPERLINK("https://www.somogyi.hu/product/home-ml-30-ww-micro-led-es-fenyfuzer-2-9-m-30-db-melegfeher-micro-led-allofenyu-kapcsolhato-es-idozitheto-atlatszo-vezetek-elemes-belteri-kivitel-ml-30-ww-17734","https://www.somogyi.hu/product/home-ml-30-ww-micro-led-es-fenyfuzer-2-9-m-30-db-melegfeher-micro-led-allofenyu-kapcsolhato-es-idozitheto-atlatszo-vezetek-elemes-belteri-kivitel-ml-30-ww-17734")</f>
        <v>0.0</v>
      </c>
      <c r="E959" s="7" t="n">
        <f>HYPERLINK("https://www.somogyi.hu/data/img/product_main_images/small/17734.jpg","https://www.somogyi.hu/data/img/product_main_images/small/17734.jpg")</f>
        <v>0.0</v>
      </c>
      <c r="F959" s="2" t="inlineStr">
        <is>
          <t>5999084957568</t>
        </is>
      </c>
      <c r="G959" s="4" t="inlineStr">
        <is>
          <t>Akár egy romantikus vacsora, akár egy pihentető esti lazulás, a megfelelő világítás mindig kulcsfontosságú.
Az ML 30/WW pont ezt kínálja: egy beltéri fényfüzér 30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30/WW fényfüzérrel, és élvezze a melegfehér micro-LED-ek által teremtett csodálatos atmoszférát!</t>
        </is>
      </c>
    </row>
    <row r="960">
      <c r="A960" s="3" t="inlineStr">
        <is>
          <t>ML 30/M</t>
        </is>
      </c>
      <c r="B960" s="2" t="inlineStr">
        <is>
          <t>Home ML 30/M micro LED-es fényfüzér, 2,9 m / 30 db színes micro LED, állófényű, kapcsolható és időzíthető, átlátszó vezeték, elemes, beltéri kivitel</t>
        </is>
      </c>
      <c r="C960" s="1" t="n">
        <v>1050.0</v>
      </c>
      <c r="D960" s="7" t="n">
        <f>HYPERLINK("https://www.somogyi.hu/product/home-ml-30-m-micro-led-es-fenyfuzer-2-9-m-30-db-szines-micro-led-allofenyu-kapcsolhato-es-idozitheto-atlatszo-vezetek-elemes-belteri-kivitel-ml-30-m-17735","https://www.somogyi.hu/product/home-ml-30-m-micro-led-es-fenyfuzer-2-9-m-30-db-szines-micro-led-allofenyu-kapcsolhato-es-idozitheto-atlatszo-vezetek-elemes-belteri-kivitel-ml-30-m-17735")</f>
        <v>0.0</v>
      </c>
      <c r="E960" s="7" t="n">
        <f>HYPERLINK("https://www.somogyi.hu/data/img/product_main_images/small/17735.jpg","https://www.somogyi.hu/data/img/product_main_images/small/17735.jpg")</f>
        <v>0.0</v>
      </c>
      <c r="F960" s="2" t="inlineStr">
        <is>
          <t>5999084957575</t>
        </is>
      </c>
      <c r="G960" s="4" t="inlineStr">
        <is>
          <t>Akár egy romantikus vacsora, akár egy pihentető esti lazulás, a megfelelő világítás mindig kulcsfontosságú.
Az ML 30/M pont ezt kínálja: egy beltéri fényfüzér 30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30/M fényfüzérrel, és élvezze a színes micro-LED-ek által teremtett csodálatos atmoszférát!</t>
        </is>
      </c>
    </row>
    <row r="961">
      <c r="A961" s="3" t="inlineStr">
        <is>
          <t>ML 50/M</t>
        </is>
      </c>
      <c r="B961" s="2" t="inlineStr">
        <is>
          <t>Home ML 50/M micro LED-es fényfüzér, 4,9 m / 50 db színes micro LED, állófényű, kapcsolható és időzíthető, átlátszó vezeték, elemes, beltéri kivitel</t>
        </is>
      </c>
      <c r="C961" s="1" t="n">
        <v>1450.0</v>
      </c>
      <c r="D961" s="7" t="n">
        <f>HYPERLINK("https://www.somogyi.hu/product/home-ml-50-m-micro-led-es-fenyfuzer-4-9-m-50-db-szines-micro-led-allofenyu-kapcsolhato-es-idozitheto-atlatszo-vezetek-elemes-belteri-kivitel-ml-50-m-17736","https://www.somogyi.hu/product/home-ml-50-m-micro-led-es-fenyfuzer-4-9-m-50-db-szines-micro-led-allofenyu-kapcsolhato-es-idozitheto-atlatszo-vezetek-elemes-belteri-kivitel-ml-50-m-17736")</f>
        <v>0.0</v>
      </c>
      <c r="E961" s="7" t="n">
        <f>HYPERLINK("https://www.somogyi.hu/data/img/product_main_images/small/17736.jpg","https://www.somogyi.hu/data/img/product_main_images/small/17736.jpg")</f>
        <v>0.0</v>
      </c>
      <c r="F961" s="2" t="inlineStr">
        <is>
          <t>5999084957582</t>
        </is>
      </c>
      <c r="G961" s="4" t="inlineStr">
        <is>
          <t>Akár egy romantikus vacsora, akár egy pihentető esti lazulás, a megfelelő világítás mindig kulcsfontosságú.
Az ML 50/M pont ezt kínálja: egy beltéri fényfüzér 50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50/M fényfüzérrel, és élvezze a színes micro-LED-ek által teremtett csodálatos atmoszférát!</t>
        </is>
      </c>
    </row>
    <row r="962">
      <c r="A962" s="3" t="inlineStr">
        <is>
          <t>ML 50/WH</t>
        </is>
      </c>
      <c r="B962" s="2" t="inlineStr">
        <is>
          <t>Home ML 50/WH micro LED-es fényfüzér, 4,9 m / 50 db hidegfehér micro LED, állófényű, kapcsolható és időzíthető, átlátszó vezeték, elemes, beltéri kivitel</t>
        </is>
      </c>
      <c r="C962" s="1" t="n">
        <v>1450.0</v>
      </c>
      <c r="D962" s="7" t="n">
        <f>HYPERLINK("https://www.somogyi.hu/product/home-ml-50-wh-micro-led-es-fenyfuzer-4-9-m-50-db-hidegfeher-micro-led-allofenyu-kapcsolhato-es-idozitheto-atlatszo-vezetek-elemes-belteri-kivitel-ml-50-wh-17737","https://www.somogyi.hu/product/home-ml-50-wh-micro-led-es-fenyfuzer-4-9-m-50-db-hidegfeher-micro-led-allofenyu-kapcsolhato-es-idozitheto-atlatszo-vezetek-elemes-belteri-kivitel-ml-50-wh-17737")</f>
        <v>0.0</v>
      </c>
      <c r="E962" s="7" t="n">
        <f>HYPERLINK("https://www.somogyi.hu/data/img/product_main_images/small/17737.jpg","https://www.somogyi.hu/data/img/product_main_images/small/17737.jpg")</f>
        <v>0.0</v>
      </c>
      <c r="F962" s="2" t="inlineStr">
        <is>
          <t>5999084957599</t>
        </is>
      </c>
      <c r="G962" s="4" t="inlineStr">
        <is>
          <t>Akár egy romantikus vacsora, akár egy pihentető esti lazulás, a megfelelő világítás mindig kulcsfontosságú.
Az ML 50/WH pont ezt kínálja: egy beltéri fényfüzér 50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50/WH fényfüzérrel, és élvezze a hidegfehér micro-LED-ek által teremtett csodálatos atmoszférát!</t>
        </is>
      </c>
    </row>
    <row r="963">
      <c r="A963" s="3" t="inlineStr">
        <is>
          <t>MLCS 600/M</t>
        </is>
      </c>
      <c r="B963" s="2" t="inlineStr">
        <is>
          <t>Home MLCS 600/M micro LED-es cluster fényfüzér, 9 m / 600 RYBG és melegfehér LED, 11 fényprogram, távirányító, hálózati adapter, kül- és beltéri kivitel</t>
        </is>
      </c>
      <c r="C963" s="1" t="n">
        <v>31390.0</v>
      </c>
      <c r="D963" s="7" t="n">
        <f>HYPERLINK("https://www.somogyi.hu/product/home-mlcs-600-m-micro-led-es-cluster-fenyfuzer-9-m-600-rybg-es-melegfeher-led-11-fenyprogram-taviranyito-halozati-adapter-kul-es-belteri-kivitel-mlcs-600-m-17738","https://www.somogyi.hu/product/home-mlcs-600-m-micro-led-es-cluster-fenyfuzer-9-m-600-rybg-es-melegfeher-led-11-fenyprogram-taviranyito-halozati-adapter-kul-es-belteri-kivitel-mlcs-600-m-17738")</f>
        <v>0.0</v>
      </c>
      <c r="E963" s="7" t="n">
        <f>HYPERLINK("https://www.somogyi.hu/data/img/product_main_images/small/17738.jpg","https://www.somogyi.hu/data/img/product_main_images/small/17738.jpg")</f>
        <v>0.0</v>
      </c>
      <c r="F963" s="2" t="inlineStr">
        <is>
          <t>5999084957605</t>
        </is>
      </c>
      <c r="G963" s="4" t="inlineStr">
        <is>
          <t>Ismerkedjen meg a MLCS 600/M microLED-es cluster fényfüzérrel, ami garantáltan varázslatos hangulatot teremt otthonában vagy kertjében!
Ez a kiemelkedő minőségű fényfüzér kiválóan alkalmazkodik mind beltéri, mind kültéri környezetbe. Az elegáns ezüst színű vezeték és az IP44-es kültéri adapter gondoskodik a megbízható és biztonságos működésről, még szabadban is. A 600 darab multicolor (RYBG) melegfehér LED lenyűgöző fényjátékot varázsol, mely bármilyen alkalomhoz tökéletes.
A MLCS 600/M számos funkcióval rendelkezik, beleértve a folyamatos üzemmódot és három különböző, ismétlődő időzítést. A fényerő változtatható, így minden pillanatot tökéletesen megvilágíthat. A mellékelt távirányítóval kényelmesen vezérelheti a fényfüzért, így a módok és fényerő könnyedén állíthatóak anélkül, hogy meg kellene mozdulnia.
Tegye felejthetetlenné otthonát a MLCS 600/M microLED-es cluster fényfüzér segítségével, és élvezze a ragyogó fények varázslatát minden alkalommal!</t>
        </is>
      </c>
    </row>
    <row r="964">
      <c r="A964" s="3" t="inlineStr">
        <is>
          <t>ML 20/M</t>
        </is>
      </c>
      <c r="B964" s="2" t="inlineStr">
        <is>
          <t>Home ML 20/M micro LED-es fényfüzér, 1,9 m / 20 db színes micro LED, állófényű, átlátszó vezeték, elemes, beltéri kivitel</t>
        </is>
      </c>
      <c r="C964" s="1" t="n">
        <v>889.0</v>
      </c>
      <c r="D964" s="7" t="n">
        <f>HYPERLINK("https://www.somogyi.hu/product/home-ml-20-m-micro-led-es-fenyfuzer-1-9-m-20-db-szines-micro-led-allofenyu-atlatszo-vezetek-elemes-belteri-kivitel-ml-20-m-17745","https://www.somogyi.hu/product/home-ml-20-m-micro-led-es-fenyfuzer-1-9-m-20-db-szines-micro-led-allofenyu-atlatszo-vezetek-elemes-belteri-kivitel-ml-20-m-17745")</f>
        <v>0.0</v>
      </c>
      <c r="E964" s="7" t="n">
        <f>HYPERLINK("https://www.somogyi.hu/data/img/product_main_images/small/17745.jpg","https://www.somogyi.hu/data/img/product_main_images/small/17745.jpg")</f>
        <v>0.0</v>
      </c>
      <c r="F964" s="2" t="inlineStr">
        <is>
          <t>5999084957674</t>
        </is>
      </c>
      <c r="G964" s="4" t="inlineStr">
        <is>
          <t>Akár egy romantikus vacsora, akár egy pihentető esti lazulás, a megfelelő világítás mindig kulcsfontosságú.
Az ML 20/M pont ezt kínálja: egy beltéri fényfüzér 20 db színes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20/M fényfüzérrel, és élvezze a színes micro-LED-ek által teremtett csodálatos atmoszférát!</t>
        </is>
      </c>
    </row>
    <row r="965">
      <c r="A965" s="3" t="inlineStr">
        <is>
          <t>ML 20/WH</t>
        </is>
      </c>
      <c r="B965" s="2" t="inlineStr">
        <is>
          <t>Home ML 20/WH micro LED-es fényfüzér, 1,9 m / 20 db hidegfehér micro LED, állófényű, átlátszó vezeték, elemes, beltéri kivitel</t>
        </is>
      </c>
      <c r="C965" s="1" t="n">
        <v>889.0</v>
      </c>
      <c r="D965" s="7" t="n">
        <f>HYPERLINK("https://www.somogyi.hu/product/home-ml-20-wh-micro-led-es-fenyfuzer-1-9-m-20-db-hidegfeher-micro-led-allofenyu-atlatszo-vezetek-elemes-belteri-kivitel-ml-20-wh-17746","https://www.somogyi.hu/product/home-ml-20-wh-micro-led-es-fenyfuzer-1-9-m-20-db-hidegfeher-micro-led-allofenyu-atlatszo-vezetek-elemes-belteri-kivitel-ml-20-wh-17746")</f>
        <v>0.0</v>
      </c>
      <c r="E965" s="7" t="n">
        <f>HYPERLINK("https://www.somogyi.hu/data/img/product_main_images/small/17746.jpg","https://www.somogyi.hu/data/img/product_main_images/small/17746.jpg")</f>
        <v>0.0</v>
      </c>
      <c r="F965" s="2" t="inlineStr">
        <is>
          <t>5999084957681</t>
        </is>
      </c>
      <c r="G965" s="4" t="inlineStr">
        <is>
          <t>Akár egy romantikus vacsora, akár egy pihentető esti lazulás, a megfelelő világítás mindig kulcsfontosságú.
Az ML 20/WH pont ezt kínálja: egy beltéri fényfüzér 20 db hidegfehér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20/WH fényfüzérrel, és élvezze a hidegfehér micro-LED-ek által teremtett csodálatos atmoszférát!</t>
        </is>
      </c>
    </row>
    <row r="966">
      <c r="A966" s="3" t="inlineStr">
        <is>
          <t>MLF 400/WH</t>
        </is>
      </c>
      <c r="B966" s="2" t="inlineStr">
        <is>
          <t>Home MLF 400/WH micro LED-es fényfüggöny, 2x2 m / 400 db hidegfehér micro LED, átlátszó vezeték, hálózati adapter, kül- és beltéri kivitel</t>
        </is>
      </c>
      <c r="C966" s="1" t="n">
        <v>9590.0</v>
      </c>
      <c r="D966" s="7" t="n">
        <f>HYPERLINK("https://www.somogyi.hu/product/home-mlf-400-wh-micro-led-es-fenyfuggony-2x2-m-400-db-hidegfeher-micro-led-atlatszo-vezetek-halozati-adapter-kul-es-belteri-kivitel-mlf-400-wh-18135","https://www.somogyi.hu/product/home-mlf-400-wh-micro-led-es-fenyfuggony-2x2-m-400-db-hidegfeher-micro-led-atlatszo-vezetek-halozati-adapter-kul-es-belteri-kivitel-mlf-400-wh-18135")</f>
        <v>0.0</v>
      </c>
      <c r="E966" s="7" t="n">
        <f>HYPERLINK("https://www.somogyi.hu/data/img/product_main_images/small/18135.jpg","https://www.somogyi.hu/data/img/product_main_images/small/18135.jpg")</f>
        <v>0.0</v>
      </c>
      <c r="F966" s="2" t="inlineStr">
        <is>
          <t>5999084961572</t>
        </is>
      </c>
      <c r="G966" s="4" t="inlineStr">
        <is>
          <t xml:space="preserve"> • kül- és beltéri kivitel 
 • 400 db hidegfehér LED 
 • a fényfüggöny mérete: 2 x 2 m 
 • 10 cm LED-távolság / 10 cm füzértávolság 
 • 5 m tápkábel 
 • tápellátás: IP44-es kültéri adapter</t>
        </is>
      </c>
    </row>
    <row r="967">
      <c r="A967" s="3" t="inlineStr">
        <is>
          <t>MLC 30/M</t>
        </is>
      </c>
      <c r="B967" s="2" t="inlineStr">
        <is>
          <t>LED-s izzósor</t>
        </is>
      </c>
      <c r="C967" s="1" t="n">
        <v>1550.0</v>
      </c>
      <c r="D967" s="7" t="n">
        <f>HYPERLINK("https://www.somogyi.hu/product/led-s-izzosor-mlc-30-m-14008","https://www.somogyi.hu/product/led-s-izzosor-mlc-30-m-14008")</f>
        <v>0.0</v>
      </c>
      <c r="E967" s="7" t="n">
        <f>HYPERLINK("https://www.somogyi.hu/data/img/product_main_images/small/14008.jpg","https://www.somogyi.hu/data/img/product_main_images/small/14008.jpg")</f>
        <v>0.0</v>
      </c>
      <c r="F967" s="2" t="inlineStr">
        <is>
          <t>5999084920609</t>
        </is>
      </c>
      <c r="G967" s="4" t="inlineStr">
        <is>
          <t>Ha Ön is kedveli a mini fényfüzéreket, akkor egészen biztosan nagy gondban lesz, hogy melyik típust is válassza az MLC széria jobbnál-jobb LED-es fényfüzérei közül!
Az MLC 30/M egy színes fényfüzér, amely összesen 30 darab LED-et tartalmaz. A termék be/ki kapcsolóval működtethető, továbbá egy diszkrét átlátszó vezetékkel rendelkezik.
Tápellátása elemmel oldható meg. Válassza a minőségi termékeket és rendeljen webáruházunkból.</t>
        </is>
      </c>
    </row>
    <row r="968">
      <c r="A968" s="3" t="inlineStr">
        <is>
          <t>KKL 1000/WW</t>
        </is>
      </c>
      <c r="B968" s="2" t="inlineStr">
        <is>
          <t>LED-es izzósor, 70m, IP44, 230V</t>
        </is>
      </c>
      <c r="C968" s="1" t="n">
        <v>18990.0</v>
      </c>
      <c r="D968" s="7" t="n">
        <f>HYPERLINK("https://www.somogyi.hu/product/led-es-izzosor-70m-ip44-230v-kkl-1000-ww-14724","https://www.somogyi.hu/product/led-es-izzosor-70m-ip44-230v-kkl-1000-ww-14724")</f>
        <v>0.0</v>
      </c>
      <c r="E968" s="7" t="n">
        <f>HYPERLINK("https://www.somogyi.hu/data/img/product_main_images/small/14724.jpg","https://www.somogyi.hu/data/img/product_main_images/small/14724.jpg")</f>
        <v>0.0</v>
      </c>
      <c r="F968" s="2" t="inlineStr">
        <is>
          <t>5999084927660</t>
        </is>
      </c>
      <c r="G968" s="4" t="inlineStr">
        <is>
          <t>Önnél sem telhet el úgy a karácsony, hogy ne díszítené fel az udvart és a ház kültéri részét? Ez esetben a KKL széria LED-es fényfüzérei között könnyedén megtalálhatja az otthonához leginkább illő állófényű világító eszközt. 
A KKL 1000/WW típusú LED-es melegfehér fényfüzér 70 méteres kábellel rendelkezik. A tápellátást biztosító hálózati adapter kültéri kivitelre alkalmas IP44-es kivitelű. Válassza a minőségi termékeket és rendeljen webáruházunkból.</t>
        </is>
      </c>
    </row>
    <row r="969">
      <c r="A969" s="3" t="inlineStr">
        <is>
          <t>LCS 768/WH</t>
        </is>
      </c>
      <c r="B969" s="2" t="inlineStr">
        <is>
          <t>LED-es cluster fényfüzér</t>
        </is>
      </c>
      <c r="C969" s="1" t="n">
        <v>14190.0</v>
      </c>
      <c r="D969" s="7" t="n">
        <f>HYPERLINK("https://www.somogyi.hu/product/led-es-cluster-fenyfuzer-lcs-768-wh-16020","https://www.somogyi.hu/product/led-es-cluster-fenyfuzer-lcs-768-wh-16020")</f>
        <v>0.0</v>
      </c>
      <c r="E969" s="7" t="n">
        <f>HYPERLINK("https://www.somogyi.hu/data/img/product_main_images/small/16020.jpg","https://www.somogyi.hu/data/img/product_main_images/small/16020.jpg")</f>
        <v>0.0</v>
      </c>
      <c r="F969" s="2" t="inlineStr">
        <is>
          <t>5999084940522</t>
        </is>
      </c>
      <c r="G969" s="4" t="inlineStr">
        <is>
          <t xml:space="preserve"> • elhelyezhetőség: kültéri / beltéri 
 • fényforrás: LED 
 • fényforrások száma: 768 db hidegfehér, Ø3 mm-es LED 
 • fényforrások színe: hidegfehér 
 • funkciók: állófényű 
 • vezeték színe: fekete 
 • hossz: 8 m 
 • tápellátás: tartozék kültéri IP44-es hálózati adapter 
 • egyéb: A fényfüzér okosítható a KNA 15W BT és a KNA 9W REMOTE adapterekkel.</t>
        </is>
      </c>
    </row>
    <row r="970">
      <c r="A970" s="3" t="inlineStr">
        <is>
          <t>KII 50/P</t>
        </is>
      </c>
      <c r="B970" s="2" t="inlineStr">
        <is>
          <t>Home KII 50/P LED-es fényfüzér, 4 m / 50 db pink LED, állófényű, zöld vezeték, hálózati adapter, beltéri kivitel</t>
        </is>
      </c>
      <c r="C970" s="1" t="n">
        <v>4290.0</v>
      </c>
      <c r="D970" s="7" t="n">
        <f>HYPERLINK("https://www.somogyi.hu/product/home-kii-50-p-led-es-fenyfuzer-4-m-50-db-pink-led-allofenyu-zold-vezetek-halozati-adapter-belteri-kivitel-kii-50-p-16129","https://www.somogyi.hu/product/home-kii-50-p-led-es-fenyfuzer-4-m-50-db-pink-led-allofenyu-zold-vezetek-halozati-adapter-belteri-kivitel-kii-50-p-16129")</f>
        <v>0.0</v>
      </c>
      <c r="E970" s="7" t="n">
        <f>HYPERLINK("https://www.somogyi.hu/data/img/product_main_images/small/16129.jpg","https://www.somogyi.hu/data/img/product_main_images/small/16129.jpg")</f>
        <v>0.0</v>
      </c>
      <c r="F970" s="2" t="inlineStr">
        <is>
          <t>5999084941611</t>
        </is>
      </c>
      <c r="G970" s="4" t="inlineStr">
        <is>
          <t>Meg akarja világítani belső tereit különleges, lenyűgöző módon?
A KII 50/P pontosan erre kínál önnek lehetőséget! Egy kiváló minőségű, beltéri kivitelű világítási megoldás, melynek 50 pink állófényű LED-je ragyogással tölti meg lakását. 
A zöld vezeték jól illeszkedik a karácsonyfa környezetébe, így egy diszkrét és modern vizuális élményt nyújt. 
A beltéri hálózati adapternek köszönhetően, a KII 50/P egyszerűen és biztonságosan csatlakoztatható otthona hálózati aljzataihoz.
Lépjen be egy káprázatosan pink világba a KII 50/P-vel és hozzon létre otthonában egy lenyűgöző atmoszférát!</t>
        </is>
      </c>
    </row>
    <row r="971">
      <c r="A971" s="3" t="inlineStr">
        <is>
          <t>KII 50/T</t>
        </is>
      </c>
      <c r="B971" s="2" t="inlineStr">
        <is>
          <t>Home KII 50/T LED-es fényfüzér, 4 m / 50 db türkiz LED, állófényű, zöld vezeték, hálózati adapter, beltéri kivitel</t>
        </is>
      </c>
      <c r="C971" s="1" t="n">
        <v>4290.0</v>
      </c>
      <c r="D971" s="7" t="n">
        <f>HYPERLINK("https://www.somogyi.hu/product/home-kii-50-t-led-es-fenyfuzer-4-m-50-db-turkiz-led-allofenyu-zold-vezetek-halozati-adapter-belteri-kivitel-kii-50-t-16130","https://www.somogyi.hu/product/home-kii-50-t-led-es-fenyfuzer-4-m-50-db-turkiz-led-allofenyu-zold-vezetek-halozati-adapter-belteri-kivitel-kii-50-t-16130")</f>
        <v>0.0</v>
      </c>
      <c r="E971" s="7" t="n">
        <f>HYPERLINK("https://www.somogyi.hu/data/img/product_main_images/small/16130.jpg","https://www.somogyi.hu/data/img/product_main_images/small/16130.jpg")</f>
        <v>0.0</v>
      </c>
      <c r="F971" s="2" t="inlineStr">
        <is>
          <t>5999084941628</t>
        </is>
      </c>
      <c r="G971" s="4" t="inlineStr">
        <is>
          <t>Meg akarja világítani belső tereit különleges, lenyűgöző módon?
A KII 50/T pontosan erre kínál önnek lehetőséget! Egy kiváló minőségű, beltéri kivitelű világítási megoldás, melynek 50 türkiz állófényű LED-je ragyogással tölti meg lakását. 
A zöld vezeték jól illeszkedik a karácsonyfa környezetébe, így egy diszkrét és modern vizuális élményt nyújt. 
A beltéri hálózati adapternek köszönhetően, a KII 50/T egyszerűen és biztonságosan csatlakoztatható otthona hálózati aljzataihoz.
Lépjen be egy káprázatosan türkiz világba a KII 50/T-vel és hozzon létre otthonában egy lenyűgöző atmoszférát!</t>
        </is>
      </c>
    </row>
    <row r="972">
      <c r="A972" s="3" t="inlineStr">
        <is>
          <t>MLCS 200/M</t>
        </is>
      </c>
      <c r="B972" s="2" t="inlineStr">
        <is>
          <t>Micro LED-es cluster fényfüzér</t>
        </is>
      </c>
      <c r="C972" s="1" t="n">
        <v>8990.0</v>
      </c>
      <c r="D972" s="7" t="n">
        <f>HYPERLINK("https://www.somogyi.hu/product/micro-led-es-cluster-fenyfuzer-mlcs-200-m-16530","https://www.somogyi.hu/product/micro-led-es-cluster-fenyfuzer-mlcs-200-m-16530")</f>
        <v>0.0</v>
      </c>
      <c r="E972" s="7" t="n">
        <f>HYPERLINK("https://www.somogyi.hu/data/img/product_main_images/small/16530.jpg","https://www.somogyi.hu/data/img/product_main_images/small/16530.jpg")</f>
        <v>0.0</v>
      </c>
      <c r="F972" s="2" t="inlineStr">
        <is>
          <t>5999084945626</t>
        </is>
      </c>
      <c r="G972" s="4" t="inlineStr">
        <is>
          <t>Micro LED-es cluster fényfüzér 200 db multicolor (RYBG) / melegfehér LED-del. Termékünk egyaránt alkalmas kül- és beltéri használatra, 9 funkcióval  - melegfehér, színes, villogó üzemmódokkal. Távirányítóval kiválasztható a melegfehér, a hagyományos színes, és egy különleges, pasztell árnyalat is.</t>
        </is>
      </c>
    </row>
    <row r="973">
      <c r="A973" s="3" t="inlineStr">
        <is>
          <t>LCS 768/M</t>
        </is>
      </c>
      <c r="B973" s="2" t="inlineStr">
        <is>
          <t>LED-es cluster fényfüzér</t>
        </is>
      </c>
      <c r="C973" s="1" t="n">
        <v>14990.0</v>
      </c>
      <c r="D973" s="7" t="n">
        <f>HYPERLINK("https://www.somogyi.hu/product/led-es-cluster-fenyfuzer-lcs-768-m-16534","https://www.somogyi.hu/product/led-es-cluster-fenyfuzer-lcs-768-m-16534")</f>
        <v>0.0</v>
      </c>
      <c r="E973" s="7" t="n">
        <f>HYPERLINK("https://www.somogyi.hu/data/img/product_main_images/small/16534.jpg","https://www.somogyi.hu/data/img/product_main_images/small/16534.jpg")</f>
        <v>0.0</v>
      </c>
      <c r="F973" s="2" t="inlineStr">
        <is>
          <t>5999084945664</t>
        </is>
      </c>
      <c r="G973" s="4" t="inlineStr">
        <is>
          <t>LED-es cluster fényfüzér 768 db színes LED-del. Termékünk egyaránt alkalmas kül- és beltéri használatra is, 8 funkcióval és memóriával rendelkezik. Folyamatos üzemmódban vagy ismétlődő időzítéssel is üzemeltethető a tartozék távirányítóval.</t>
        </is>
      </c>
    </row>
    <row r="974">
      <c r="A974" s="6" t="inlineStr">
        <is>
          <t xml:space="preserve">   Karácsonyi dekorációs világítás / Fényfüzér dekorációval</t>
        </is>
      </c>
      <c r="B974" s="6" t="inlineStr">
        <is>
          <t/>
        </is>
      </c>
      <c r="C974" s="6" t="inlineStr">
        <is>
          <t/>
        </is>
      </c>
      <c r="D974" s="6" t="inlineStr">
        <is>
          <t/>
        </is>
      </c>
      <c r="E974" s="6" t="inlineStr">
        <is>
          <t/>
        </is>
      </c>
      <c r="F974" s="6" t="inlineStr">
        <is>
          <t/>
        </is>
      </c>
      <c r="G974" s="6" t="inlineStr">
        <is>
          <t/>
        </is>
      </c>
    </row>
    <row r="975">
      <c r="A975" s="3" t="inlineStr">
        <is>
          <t>KIB 48C/M</t>
        </is>
      </c>
      <c r="B975" s="2" t="inlineStr">
        <is>
          <t>LED-es izzósor, EVA gömb</t>
        </is>
      </c>
      <c r="C975" s="1" t="n">
        <v>6390.0</v>
      </c>
      <c r="D975" s="7" t="n">
        <f>HYPERLINK("https://www.somogyi.hu/product/led-es-izzosor-eva-gomb-kib-48c-m-15575","https://www.somogyi.hu/product/led-es-izzosor-eva-gomb-kib-48c-m-15575")</f>
        <v>0.0</v>
      </c>
      <c r="E975" s="7" t="n">
        <f>HYPERLINK("https://www.somogyi.hu/data/img/product_main_images/small/15575.jpg","https://www.somogyi.hu/data/img/product_main_images/small/15575.jpg")</f>
        <v>0.0</v>
      </c>
      <c r="F975" s="2" t="inlineStr">
        <is>
          <t>5999084936099</t>
        </is>
      </c>
      <c r="G975" s="4" t="inlineStr">
        <is>
          <t xml:space="preserve"> • elhelyezhetőség: beltéri 
 • fényforrás: LED 
 • fényforrások száma: 40 db 
 • fényforrások színe: színes 
 • funkciók: 8 program 
 • vezeték színe: fekete 
 • hossz: 6 m 
 • tápellátás: 230 V~ (adapteres) 
 • egyéb: 3 cm-es fehér EVA anyagú gömbök, csomagolás: műanyag kofferben</t>
        </is>
      </c>
    </row>
    <row r="976">
      <c r="A976" s="3" t="inlineStr">
        <is>
          <t>KII 200B/WW</t>
        </is>
      </c>
      <c r="B976" s="2" t="inlineStr">
        <is>
          <t>Home KII 200B/WW LED-es gömb fényfüzér, 16 m / 200 db melegfehér LED, állófényű, zöld vezeték, hálózati adapter, beltéri kivitel</t>
        </is>
      </c>
      <c r="C976" s="1" t="n">
        <v>11890.0</v>
      </c>
      <c r="D976" s="7" t="n">
        <f>HYPERLINK("https://www.somogyi.hu/product/home-kii-200b-ww-led-es-gomb-fenyfuzer-16-m-200-db-melegfeher-led-allofenyu-zold-vezetek-halozati-adapter-belteri-kivitel-kii-200b-ww-16145","https://www.somogyi.hu/product/home-kii-200b-ww-led-es-gomb-fenyfuzer-16-m-200-db-melegfeher-led-allofenyu-zold-vezetek-halozati-adapter-belteri-kivitel-kii-200b-ww-16145")</f>
        <v>0.0</v>
      </c>
      <c r="E976" s="7" t="n">
        <f>HYPERLINK("https://www.somogyi.hu/data/img/product_main_images/small/16145.jpg","https://www.somogyi.hu/data/img/product_main_images/small/16145.jpg")</f>
        <v>0.0</v>
      </c>
      <c r="F976" s="2" t="inlineStr">
        <is>
          <t>5999084941772</t>
        </is>
      </c>
      <c r="G976" s="4" t="inlineStr">
        <is>
          <t>Olyan ünnepi beltéri világítási megoldást keres, amely nem csak praktikus, de esztétikailag is lenyűgöző?
A KII 200B/WW pontosan ilyen: egy beltéri kivitelű, állófényű fényfüzér, melyben 200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200B/WW varázslatos világát és tegye otthonát még hangulatosabbá!</t>
        </is>
      </c>
    </row>
    <row r="977">
      <c r="A977" s="3" t="inlineStr">
        <is>
          <t>KJL 50C</t>
        </is>
      </c>
      <c r="B977" s="2" t="inlineStr">
        <is>
          <t>Home KJL 50C LED-es jégcsap fényfüzér, 7,3x0,25 m / 50 db hidegfehér LED, 50 db jégcsap, fehér vezeték, állófényű, hálózati adapter, kül- és beltéri kivitel</t>
        </is>
      </c>
      <c r="C977" s="1" t="n">
        <v>14490.0</v>
      </c>
      <c r="D977" s="7" t="n">
        <f>HYPERLINK("https://www.somogyi.hu/product/home-kjl-50c-led-es-jegcsap-fenyfuzer-7-3x0-25-m-50-db-hidegfeher-led-50-db-jegcsap-feher-vezetek-allofenyu-halozati-adapter-kul-es-belteri-kivitel-kjl-50c-15475","https://www.somogyi.hu/product/home-kjl-50c-led-es-jegcsap-fenyfuzer-7-3x0-25-m-50-db-hidegfeher-led-50-db-jegcsap-feher-vezetek-allofenyu-halozati-adapter-kul-es-belteri-kivitel-kjl-50c-15475")</f>
        <v>0.0</v>
      </c>
      <c r="E977" s="7" t="n">
        <f>HYPERLINK("https://www.somogyi.hu/data/img/product_main_images/small/15475.jpg","https://www.somogyi.hu/data/img/product_main_images/small/15475.jpg")</f>
        <v>0.0</v>
      </c>
      <c r="F977" s="2" t="inlineStr">
        <is>
          <t>5999084935092</t>
        </is>
      </c>
      <c r="G977" s="4" t="inlineStr">
        <is>
          <t xml:space="preserve"> • elhelyezhetőség: kültéri / beltéri 
 • fényforrás: LED 
 • fényforrások száma: 50 db 
 • fényforrások színe: hidegfehér 
 • vezeték színe: fehér 
 • hossz: 7,3 m 
 • tápellátás: 230 V~ (adapteres) 
 • egyéb: 50 db 15 cm-es jégcsap, műanyag kofferben</t>
        </is>
      </c>
    </row>
    <row r="978">
      <c r="A978" s="3" t="inlineStr">
        <is>
          <t>KJL 360</t>
        </is>
      </c>
      <c r="B978" s="2" t="inlineStr">
        <is>
          <t>Home KJL 360 LED-es jégcsap fényfüzér, 5,32x0,36 m / 360 db hidegfehér LED, 15 db jégcsap, átlátszó vezeték, fényjáték, hálózati adapter, kül- és beltéri kivitel</t>
        </is>
      </c>
      <c r="C978" s="1" t="n">
        <v>33290.0</v>
      </c>
      <c r="D978" s="7" t="n">
        <f>HYPERLINK("https://www.somogyi.hu/product/home-kjl-360-led-es-jegcsap-fenyfuzer-5-32x0-36-m-360-db-hidegfeher-led-15-db-jegcsap-atlatszo-vezetek-fenyjatek-halozati-adapter-kul-es-belteri-kivitel-kjl-360-17860","https://www.somogyi.hu/product/home-kjl-360-led-es-jegcsap-fenyfuzer-5-32x0-36-m-360-db-hidegfeher-led-15-db-jegcsap-atlatszo-vezetek-fenyjatek-halozati-adapter-kul-es-belteri-kivitel-kjl-360-17860")</f>
        <v>0.0</v>
      </c>
      <c r="E978" s="7" t="n">
        <f>HYPERLINK("https://www.somogyi.hu/data/img/product_main_images/small/17860.jpg","https://www.somogyi.hu/data/img/product_main_images/small/17860.jpg")</f>
        <v>0.0</v>
      </c>
      <c r="F978" s="2" t="inlineStr">
        <is>
          <t>5999084958824</t>
        </is>
      </c>
      <c r="G978" s="4" t="inlineStr">
        <is>
          <t xml:space="preserve"> • elhelyezhetőség: kültéri / beltéri 
 • fényforrás: LED 
 • fényforrások száma: 360 db 
 • fényforrások színe: hidegfehér 
 • funkciók: olvadást imitáló futófény a jégcsapokon belül 
 • hossz: füzér hossza: 5,6 m • tápvezeték hossza: 5 m 
 • tápellátás: tartozék IP44-es hálózati adapter 
 • egyéb: 15 jégcsap, jégcsaponként 24 LED</t>
        </is>
      </c>
    </row>
    <row r="979">
      <c r="A979" s="3" t="inlineStr">
        <is>
          <t>KII 100B/WW</t>
        </is>
      </c>
      <c r="B979" s="2" t="inlineStr">
        <is>
          <t>Home KII 100B/WW LED-es gömb fényfüzér, 8 m / 100 db melegfehér LED, állófényű, zöld vezeték, hálózati adapter, beltéri kivitel</t>
        </is>
      </c>
      <c r="C979" s="1" t="n">
        <v>7290.0</v>
      </c>
      <c r="D979" s="7" t="n">
        <f>HYPERLINK("https://www.somogyi.hu/product/home-kii-100b-ww-led-es-gomb-fenyfuzer-8-m-100-db-melegfeher-led-allofenyu-zold-vezetek-halozati-adapter-belteri-kivitel-kii-100b-ww-16143","https://www.somogyi.hu/product/home-kii-100b-ww-led-es-gomb-fenyfuzer-8-m-100-db-melegfeher-led-allofenyu-zold-vezetek-halozati-adapter-belteri-kivitel-kii-100b-ww-16143")</f>
        <v>0.0</v>
      </c>
      <c r="E979" s="7" t="n">
        <f>HYPERLINK("https://www.somogyi.hu/data/img/product_main_images/small/16143.jpg","https://www.somogyi.hu/data/img/product_main_images/small/16143.jpg")</f>
        <v>0.0</v>
      </c>
      <c r="F979" s="2" t="inlineStr">
        <is>
          <t>5999084941758</t>
        </is>
      </c>
      <c r="G979" s="4" t="inlineStr">
        <is>
          <t>Olyan ünnepi beltéri világítási megoldást keres, amely nem csak praktikus, de esztétikailag is lenyűgöző?
A KII 100B/WW pontosan ilyen: egy beltéri kivitelű, állófényű fényfüzér, melyben 100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100B/WW varázslatos világát és tegye otthonát még hangulatosabbá!</t>
        </is>
      </c>
    </row>
    <row r="980">
      <c r="A980" s="3" t="inlineStr">
        <is>
          <t>KII 100B/M</t>
        </is>
      </c>
      <c r="B980" s="2" t="inlineStr">
        <is>
          <t>Home KII 100B/M LED-es gömb fényfüzér, 8 m / 100 db színes LED, állófényű, zöld vezeték, hálózati adapter, beltéri kivitel</t>
        </is>
      </c>
      <c r="C980" s="1" t="n">
        <v>7290.0</v>
      </c>
      <c r="D980" s="7" t="n">
        <f>HYPERLINK("https://www.somogyi.hu/product/home-kii-100b-m-led-es-gomb-fenyfuzer-8-m-100-db-szines-led-allofenyu-zold-vezetek-halozati-adapter-belteri-kivitel-kii-100b-m-16144","https://www.somogyi.hu/product/home-kii-100b-m-led-es-gomb-fenyfuzer-8-m-100-db-szines-led-allofenyu-zold-vezetek-halozati-adapter-belteri-kivitel-kii-100b-m-16144")</f>
        <v>0.0</v>
      </c>
      <c r="E980" s="7" t="n">
        <f>HYPERLINK("https://www.somogyi.hu/data/img/product_main_images/small/16144.jpg","https://www.somogyi.hu/data/img/product_main_images/small/16144.jpg")</f>
        <v>0.0</v>
      </c>
      <c r="F980" s="2" t="inlineStr">
        <is>
          <t>5999084941765</t>
        </is>
      </c>
      <c r="G980" s="4" t="inlineStr">
        <is>
          <t>Olyan ünnepi beltéri világítási megoldást keres, amely nem csak praktikus, de esztétikailag is lenyűgöző?
A KII 100B/M pontosan ilyen: egy beltéri kivitelű, állófényű fényfüzér, melyben 100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100B/M varázslatos világát és tegye otthonát még hangulatosabbá!</t>
        </is>
      </c>
    </row>
    <row r="981">
      <c r="A981" s="3" t="inlineStr">
        <is>
          <t>MLC 10/CS</t>
        </is>
      </c>
      <c r="B981" s="2" t="inlineStr">
        <is>
          <t>Home MLC 10/CS mini LED-es csillag fényfüzér, 0,9 m / 10 db melegfehér LED, állófényű, átlátszó vezeték, elemes, beltéri kivitel</t>
        </is>
      </c>
      <c r="C981" s="1" t="n">
        <v>1190.0</v>
      </c>
      <c r="D981" s="7" t="n">
        <f>HYPERLINK("https://www.somogyi.hu/product/home-mlc-10-cs-mini-led-es-csillag-fenyfuzer-0-9-m-10-db-melegfeher-led-allofenyu-atlatszo-vezetek-elemes-belteri-kivitel-mlc-10-cs-9868","https://www.somogyi.hu/product/home-mlc-10-cs-mini-led-es-csillag-fenyfuzer-0-9-m-10-db-melegfeher-led-allofenyu-atlatszo-vezetek-elemes-belteri-kivitel-mlc-10-cs-9868")</f>
        <v>0.0</v>
      </c>
      <c r="E981" s="7" t="n">
        <f>HYPERLINK("https://www.somogyi.hu/data/img/product_main_images/small/09868.jpg","https://www.somogyi.hu/data/img/product_main_images/small/09868.jpg")</f>
        <v>0.0</v>
      </c>
      <c r="F981" s="2" t="inlineStr">
        <is>
          <t>5998312785881</t>
        </is>
      </c>
      <c r="G981" s="4" t="inlineStr">
        <is>
          <t>Tegye még hangulatosabbá otthonát a MLC 10/CS LED-es csillag mini fényfüzérrel! 
Ez a praktikus beltéri dekoráció 10 melegfehér LED-del és csillag dekorációval rendelkezik, melyek diszkréten helyezkednek el az átlátszó vezetéken. 
A be/ki kapcsoló egyszerűvé teszi a használatot, a füzért két darab 1,5 V (AA) elem működteti (nem tartozék) a könnyű telepítés érdekében. 
Teremtsen egyedi atmoszférát ezzel a csillagos fényfüzérrel, és adjon otthonának az extra ragyogást!</t>
        </is>
      </c>
    </row>
    <row r="982">
      <c r="A982" s="3" t="inlineStr">
        <is>
          <t>KJL 15</t>
        </is>
      </c>
      <c r="B982" s="2" t="inlineStr">
        <is>
          <t>LED-es jégcsap izzósor</t>
        </is>
      </c>
      <c r="C982" s="1" t="n">
        <v>19490.0</v>
      </c>
      <c r="D982" s="7" t="n">
        <f>HYPERLINK("https://www.somogyi.hu/product/led-es-jegcsap-izzosor-kjl-15-14725","https://www.somogyi.hu/product/led-es-jegcsap-izzosor-kjl-15-14725")</f>
        <v>0.0</v>
      </c>
      <c r="E982" s="7" t="n">
        <f>HYPERLINK("https://www.somogyi.hu/data/img/product_main_images/small/14725.jpg","https://www.somogyi.hu/data/img/product_main_images/small/14725.jpg")</f>
        <v>0.0</v>
      </c>
      <c r="F982" s="2" t="inlineStr">
        <is>
          <t>5999084927677</t>
        </is>
      </c>
      <c r="G982" s="4" t="inlineStr">
        <is>
          <t>A jégcsapok a tél egyik legszebb természeti jelenségei. Varázsoljon otthonába Ön is téli hangulatot a KJL 15 LED-es jégcsap fényfüzérrel. A dekoráció hangulatos világítását összesen 180 db hidegfehér LED teszi lehetővé. A fényfüzéren összesen 15 db jégcsap található (jégcsaponként 12 LED), amelyek olvadást imitálnak. 
Tápellátását az IP44-es kültéri kivitelben kapható hálózati adapter biztosítja. Hosszúsága: 5,6 méter. Válassza a minőségi termékeket és rendeljen webáruházunkból.</t>
        </is>
      </c>
    </row>
    <row r="983">
      <c r="A983" s="3" t="inlineStr">
        <is>
          <t>KII 200B/M</t>
        </is>
      </c>
      <c r="B983" s="2" t="inlineStr">
        <is>
          <t>Home KII 200B/M LED-es gömb fényfüzér, 16 m / 200 db színes LED, állófényű, zöld vezeték, hálózati adapter, beltéri kivitel</t>
        </is>
      </c>
      <c r="C983" s="1" t="n">
        <v>11890.0</v>
      </c>
      <c r="D983" s="7" t="n">
        <f>HYPERLINK("https://www.somogyi.hu/product/home-kii-200b-m-led-es-gomb-fenyfuzer-16-m-200-db-szines-led-allofenyu-zold-vezetek-halozati-adapter-belteri-kivitel-kii-200b-m-16146","https://www.somogyi.hu/product/home-kii-200b-m-led-es-gomb-fenyfuzer-16-m-200-db-szines-led-allofenyu-zold-vezetek-halozati-adapter-belteri-kivitel-kii-200b-m-16146")</f>
        <v>0.0</v>
      </c>
      <c r="E983" s="7" t="n">
        <f>HYPERLINK("https://www.somogyi.hu/data/img/product_main_images/small/16146.jpg","https://www.somogyi.hu/data/img/product_main_images/small/16146.jpg")</f>
        <v>0.0</v>
      </c>
      <c r="F983" s="2" t="inlineStr">
        <is>
          <t>5999084941789</t>
        </is>
      </c>
      <c r="G983" s="4" t="inlineStr">
        <is>
          <t>Olyan ünnepi beltéri világítási megoldást keres, amely nem csak praktikus, de esztétikailag is lenyűgöző?
A KII 200B/M pontosan ilyen: egy beltéri kivitelű, állófényű fényfüzér, melyben 200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200B/M varázslatos világát és tegye otthonát még hangulatosabbá!</t>
        </is>
      </c>
    </row>
    <row r="984">
      <c r="A984" s="3" t="inlineStr">
        <is>
          <t>KJL 240</t>
        </is>
      </c>
      <c r="B984" s="2" t="inlineStr">
        <is>
          <t>Home KJL 240 LED-es jégcsap fényfüzér, 5,32x0,24 m / 240 db hidegfehér LED, 15 db jégcsap, átlátszó vezeték, fényjáték, hálózati adapter, kül- és beltéri kivitel</t>
        </is>
      </c>
      <c r="C984" s="1" t="n">
        <v>27490.0</v>
      </c>
      <c r="D984" s="7" t="n">
        <f>HYPERLINK("https://www.somogyi.hu/product/home-kjl-240-led-es-jegcsap-fenyfuzer-5-32x0-24-m-240-db-hidegfeher-led-15-db-jegcsap-atlatszo-vezetek-fenyjatek-halozati-adapter-kul-es-belteri-kivitel-kjl-240-17861","https://www.somogyi.hu/product/home-kjl-240-led-es-jegcsap-fenyfuzer-5-32x0-24-m-240-db-hidegfeher-led-15-db-jegcsap-atlatszo-vezetek-fenyjatek-halozati-adapter-kul-es-belteri-kivitel-kjl-240-17861")</f>
        <v>0.0</v>
      </c>
      <c r="E984" s="7" t="n">
        <f>HYPERLINK("https://www.somogyi.hu/data/img/product_main_images/small/17861.jpg","https://www.somogyi.hu/data/img/product_main_images/small/17861.jpg")</f>
        <v>0.0</v>
      </c>
      <c r="F984" s="2" t="inlineStr">
        <is>
          <t>5999084958831</t>
        </is>
      </c>
      <c r="G984" s="4" t="inlineStr">
        <is>
          <t xml:space="preserve"> • elhelyezhetőség: kültéri / beltéri 
 • fényforrás: LED 
 • fényforrások száma: 240 db 
 • fényforrások színe: hidegfehér 
 • funkciók: olvadást imitáló futófény a jégcsapokon belül 
 • vezeték színe: átlátszó 
 • hossz: füzér hossza: 5,6 m • tápvezeték hossza: 5 m 
 • tápellátás: tartozék IP44-es hálózati adapter 
 • egyéb: 15 jégcsap, jégcsaponként 16 LED</t>
        </is>
      </c>
    </row>
    <row r="985">
      <c r="A985" s="3" t="inlineStr">
        <is>
          <t>KLW 20 GP</t>
        </is>
      </c>
      <c r="B985" s="2" t="inlineStr">
        <is>
          <t>LED-es fényfüzér, fenyő</t>
        </is>
      </c>
      <c r="C985" s="1" t="n">
        <v>4990.0</v>
      </c>
      <c r="D985" s="7" t="n">
        <f>HYPERLINK("https://www.somogyi.hu/product/led-es-fenyfuzer-fenyo-klw-20-gp-16506","https://www.somogyi.hu/product/led-es-fenyfuzer-fenyo-klw-20-gp-16506")</f>
        <v>0.0</v>
      </c>
      <c r="E985" s="7" t="n">
        <f>HYPERLINK("https://www.somogyi.hu/data/img/product_main_images/small/16506.jpg","https://www.somogyi.hu/data/img/product_main_images/small/16506.jpg")</f>
        <v>0.0</v>
      </c>
      <c r="F985" s="2" t="inlineStr">
        <is>
          <t>5999084945381</t>
        </is>
      </c>
      <c r="G985" s="4" t="inlineStr">
        <is>
          <t>LED-es fenyő fényfüzér – a fenyőfa-figurás fényfüzérrel garantáltan az Ön karácsonyfája lesz a legtrendibb!</t>
        </is>
      </c>
    </row>
    <row r="986">
      <c r="A986" s="3" t="inlineStr">
        <is>
          <t>ML 15 GLOBE</t>
        </is>
      </c>
      <c r="B986" s="2" t="inlineStr">
        <is>
          <t>Home ML 15 GLOBE micro LED-es villanykörte fényfüzér, 3,5 m / 70 db melegfehér micro LED, üveg villanykörte búra, átlátszó vezeték, adapter, kül- és beltéri kivitel</t>
        </is>
      </c>
      <c r="C986" s="1" t="n">
        <v>9490.0</v>
      </c>
      <c r="D986" s="7" t="n">
        <f>HYPERLINK("https://www.somogyi.hu/product/home-ml-15-globe-micro-led-es-villanykorte-fenyfuzer-3-5-m-70-db-melegfeher-micro-led-uveg-villanykorte-bura-atlatszo-vezetek-adapter-kul-es-belteri-kivitel-ml-15-globe-16987","https://www.somogyi.hu/product/home-ml-15-globe-micro-led-es-villanykorte-fenyfuzer-3-5-m-70-db-melegfeher-micro-led-uveg-villanykorte-bura-atlatszo-vezetek-adapter-kul-es-belteri-kivitel-ml-15-globe-16987")</f>
        <v>0.0</v>
      </c>
      <c r="E986" s="7" t="n">
        <f>HYPERLINK("https://www.somogyi.hu/data/img/product_main_images/small/16987.jpg","https://www.somogyi.hu/data/img/product_main_images/small/16987.jpg")</f>
        <v>0.0</v>
      </c>
      <c r="F986" s="2" t="inlineStr">
        <is>
          <t>5999084950194</t>
        </is>
      </c>
      <c r="G986" s="4" t="inlineStr">
        <is>
          <t>Képzelje el, hogy esténként az udvaron, teraszon vagy akár a nappaliban egy mesés világítással teszi hangulatosabbá a környezetét. De vajon melyik termékkel érheti ezt el?
Az ML 15 GLOBE kínálja a tökéletes megoldást erre. A kül- és beltéri kivitel gondoskodik arról, hogy bármilyen környezetben tökéletesen megállja a helyét. 
A 15 db üveg villanykörte azonnal szemet gyönyörködtető látványt nyújt, míg a benne található összesen 75 db melegfehér micro-LED varázslatosan ragyog. 
Az átlátszó vezeték diszkréten simul a környezetébe, míg a kültéri IP44-es hálózati adapter gondoskodik a folyamatos és biztonságos működésről.
Varázsoljon fényekkel! Az ML 15 GLOBE nem csak egy fényfüzér, hanem egy élmény. Fedezze fel ezt a csodálatos világítási megoldást még ma!</t>
        </is>
      </c>
    </row>
    <row r="987">
      <c r="A987" s="3" t="inlineStr">
        <is>
          <t>KJL 35</t>
        </is>
      </c>
      <c r="B987" s="2" t="inlineStr">
        <is>
          <t>LED-es jégcsap fényfüzér</t>
        </is>
      </c>
      <c r="C987" s="1" t="n">
        <v>25490.0</v>
      </c>
      <c r="D987" s="7" t="n">
        <f>HYPERLINK("https://www.somogyi.hu/product/led-es-jegcsap-fenyfuzer-kjl-35-15619","https://www.somogyi.hu/product/led-es-jegcsap-fenyfuzer-kjl-35-15619")</f>
        <v>0.0</v>
      </c>
      <c r="E987" s="7" t="n">
        <f>HYPERLINK("https://www.somogyi.hu/data/img/product_main_images/small/15619.jpg","https://www.somogyi.hu/data/img/product_main_images/small/15619.jpg")</f>
        <v>0.0</v>
      </c>
      <c r="F987" s="2" t="inlineStr">
        <is>
          <t>5999084936532</t>
        </is>
      </c>
      <c r="G987" s="4" t="inlineStr">
        <is>
          <t xml:space="preserve"> • elhelyezhetőség: kültéri / beltéri 
 • fényforrás: LED 
 • fényforrások száma: 15 x 18 db 
 • fényforrások színe: hidegfehér 
 • funkciók: olvadást imitáló futófény 
 • vezeték színe: áttetsző 
 • hossz: 5,6 m 
 • tápellátás: 230 V~ (adapteres) 
 • egyéb: 15 db 35 cm-es jégcsap</t>
        </is>
      </c>
    </row>
    <row r="988">
      <c r="A988" s="3" t="inlineStr">
        <is>
          <t>G 10101</t>
        </is>
      </c>
      <c r="B988" s="2" t="inlineStr">
        <is>
          <t>LED-es jégcsap fényfüggöny</t>
        </is>
      </c>
      <c r="C988" s="1" t="n">
        <v>15590.0</v>
      </c>
      <c r="D988" s="7" t="n">
        <f>HYPERLINK("https://www.somogyi.hu/product/led-es-jegcsap-fenyfuggony-g-10101-9073","https://www.somogyi.hu/product/led-es-jegcsap-fenyfuggony-g-10101-9073")</f>
        <v>0.0</v>
      </c>
      <c r="E988" s="7" t="n">
        <f>HYPERLINK("https://www.somogyi.hu/data/img/product_main_images/small/09073.jpg","https://www.somogyi.hu/data/img/product_main_images/small/09073.jpg")</f>
        <v>0.0</v>
      </c>
      <c r="F988" s="2" t="inlineStr">
        <is>
          <t>5998312779514</t>
        </is>
      </c>
      <c r="G988" s="4" t="inlineStr">
        <is>
          <t>A jégcsapok a tél egyik legszebb természeti jelenségei. Varázsoljon otthonába Ön is téli hangulatot. A G 10101 LED-es jégcsap fényfüzérrel. A dekoráció világítását összesen 100 db hidegfehér LED teszi lehetővé. Tápellátását pedig az IP44-es kültéri kivitelben kapható hálózati adapter biztosítja. Hosszúsága: 3,6 méter. A dekoráció érdekessége, hogy a világítás nem más, mint a jégcsap olvadását imitáló fényjáték, amely a 20 cm-es jégcsapon jelenik meg. Válassza a minőségi termékeket és rendeljen webáruházunkból.</t>
        </is>
      </c>
    </row>
    <row r="989">
      <c r="A989" s="3" t="inlineStr">
        <is>
          <t>ML 23/WW</t>
        </is>
      </c>
      <c r="B989" s="2" t="inlineStr">
        <is>
          <t>Home ML 23/WW micro LED-es fényfüzér, 1,9 m / 20 db melegfehér LED, rénszarvas, harang, angyal, hópehely fa figurákkal, átlátszó vezeték, elemes, beltéri kivitel</t>
        </is>
      </c>
      <c r="C989" s="1" t="n">
        <v>2590.0</v>
      </c>
      <c r="D989" s="7" t="n">
        <f>HYPERLINK("https://www.somogyi.hu/product/home-ml-23-ww-micro-led-es-fenyfuzer-1-9-m-20-db-melegfeher-led-renszarvas-harang-angyal-hopehely-fa-figurakkal-atlatszo-vezetek-elemes-belteri-kivitel-ml-23-ww-16985","https://www.somogyi.hu/product/home-ml-23-ww-micro-led-es-fenyfuzer-1-9-m-20-db-melegfeher-led-renszarvas-harang-angyal-hopehely-fa-figurakkal-atlatszo-vezetek-elemes-belteri-kivitel-ml-23-ww-16985")</f>
        <v>0.0</v>
      </c>
      <c r="E989" s="7" t="n">
        <f>HYPERLINK("https://www.somogyi.hu/data/img/product_main_images/small/16985.jpg","https://www.somogyi.hu/data/img/product_main_images/small/16985.jpg")</f>
        <v>0.0</v>
      </c>
      <c r="F989" s="2" t="inlineStr">
        <is>
          <t>5999084950170</t>
        </is>
      </c>
      <c r="G989" s="4" t="inlineStr">
        <is>
          <t>Szeretné egyedivé tenni a belső terét az ünnepek alatt? Az ML 23/WW fényfüzér a tökéletes választás!
Ez a beltéri kivitelű fényfüzér 20 db melegfehér micro-LED-del rendelkezik, amelyek mindegyike a vékony, átlátszó vezetéken helyezkedik el. 
Egy fényfüzéren belül a LED-ek vagy rénszarvas, vagy harang, vagy angyal, vagy hópehely figurákkal vannak díszítve, mely díszek fából készültek.
A fényfüzér kikapcsolt, bekapcsolt és ismétlődő időzítés funkciókkal is rendelkezik (6 óra bekapcsolt és 18 óra kikapcsolt állapot), ami nagyban leegyszerűsíti a használatát. 
A tápellátás 2 x 1,5 V (AA) elemmel működik, amelyek nem tartoznak a csomaghoz. 
A termék kizárólag displayben, vegyes figurákkal rendelhető, a "TRY ME DISPLAY" pedig a 4-féle figurából 5-5 db füzért tartalmaz.
Ne hagyja ki ezt a különleges ajánlatot! Tegye otthonát igazán ünnepivé az ML 23/WW fényfüzéreivel!</t>
        </is>
      </c>
    </row>
    <row r="990">
      <c r="A990" s="3" t="inlineStr">
        <is>
          <t>G 550</t>
        </is>
      </c>
      <c r="B990" s="2" t="inlineStr">
        <is>
          <t>LED-es jégcsap fényfüggöny</t>
        </is>
      </c>
      <c r="C990" s="1" t="n">
        <v>8290.0</v>
      </c>
      <c r="D990" s="7" t="n">
        <f>HYPERLINK("https://www.somogyi.hu/product/led-es-jegcsap-fenyfuggony-g-550-9074","https://www.somogyi.hu/product/led-es-jegcsap-fenyfuggony-g-550-9074")</f>
        <v>0.0</v>
      </c>
      <c r="E990" s="7" t="n">
        <f>HYPERLINK("https://www.somogyi.hu/data/img/product_main_images/small/09074.jpg","https://www.somogyi.hu/data/img/product_main_images/small/09074.jpg")</f>
        <v>0.0</v>
      </c>
      <c r="F990" s="2" t="inlineStr">
        <is>
          <t>5998312779521</t>
        </is>
      </c>
      <c r="G990" s="4" t="inlineStr">
        <is>
          <t>A jégcsapok a tél egyik legszebb természeti jelenségei. Varázsoljon otthonába Ön is téli hangulatot. A G 550-es LED-es jégcsap fényfüzérrel. A dekoráció világítását összesen 50 db hidegfehér LED teszi lehetővé. Tápellátását pedig az IP44-es kültéri kivitelben kapható hálózati adapter biztosítja. Hosszúsága: 1,6 méter. A dekoráció érdekessége, hogy a világítás nem más, mint a jégcsap olvadását imitáló fényjáték. Válassza a minőségi termékeket és rendeljen webáruházunkból.</t>
        </is>
      </c>
    </row>
    <row r="991">
      <c r="A991" s="3" t="inlineStr">
        <is>
          <t>G 10201</t>
        </is>
      </c>
      <c r="B991" s="2" t="inlineStr">
        <is>
          <t>Home G 10201 LED-es jégcsap fényfüzér, 3,33x0,21 m / 200 db hidegfehér LED, 10 db jégcsap, átlátszó vezeték, fényjáték, hálózati adapter, kül- és beltéri kivitel</t>
        </is>
      </c>
      <c r="C991" s="1" t="n">
        <v>20790.0</v>
      </c>
      <c r="D991" s="7" t="n">
        <f>HYPERLINK("https://www.somogyi.hu/product/home-g-10201-led-es-jegcsap-fenyfuzer-3-33x0-21-m-200-db-hidegfeher-led-10-db-jegcsap-atlatszo-vezetek-fenyjatek-halozati-adapter-kul-es-belteri-kivitel-g-10201-17862","https://www.somogyi.hu/product/home-g-10201-led-es-jegcsap-fenyfuzer-3-33x0-21-m-200-db-hidegfeher-led-10-db-jegcsap-atlatszo-vezetek-fenyjatek-halozati-adapter-kul-es-belteri-kivitel-g-10201-17862")</f>
        <v>0.0</v>
      </c>
      <c r="E991" s="7" t="n">
        <f>HYPERLINK("https://www.somogyi.hu/data/img/product_main_images/small/17862.jpg","https://www.somogyi.hu/data/img/product_main_images/small/17862.jpg")</f>
        <v>0.0</v>
      </c>
      <c r="F991" s="2" t="inlineStr">
        <is>
          <t>5999084958848</t>
        </is>
      </c>
      <c r="G991" s="4" t="inlineStr">
        <is>
          <t xml:space="preserve"> • elhelyezhetőség: kültéri / beltéri 
 • fényforrás: LED 
 • fényforrások száma: 200 db 
 • fényforrások színe: hidegfehér 
 • funkciók: jégcsap olvadást imitáló fényjáték a 20 cm-es jégcsap-dekoráción 
 • hossz: 3,6 m 
 • tápellátás: 230 V~ / 50 Hz (7 V adapter) 
 • egyéb: 10 db 20 cm-es jégcsap</t>
        </is>
      </c>
    </row>
    <row r="992">
      <c r="A992" s="3" t="inlineStr">
        <is>
          <t>KLG 50</t>
        </is>
      </c>
      <c r="B992" s="2" t="inlineStr">
        <is>
          <t>LED-es izzósor, jégcsap</t>
        </is>
      </c>
      <c r="C992" s="1" t="n">
        <v>4990.0</v>
      </c>
      <c r="D992" s="7" t="n">
        <f>HYPERLINK("https://www.somogyi.hu/product/led-es-izzosor-jegcsap-klg-50-11908","https://www.somogyi.hu/product/led-es-izzosor-jegcsap-klg-50-11908")</f>
        <v>0.0</v>
      </c>
      <c r="E992" s="7" t="n">
        <f>HYPERLINK("https://www.somogyi.hu/data/img/product_main_images/small/11908.jpg","https://www.somogyi.hu/data/img/product_main_images/small/11908.jpg")</f>
        <v>0.0</v>
      </c>
      <c r="F992" s="2" t="inlineStr">
        <is>
          <t>5999084901202</t>
        </is>
      </c>
      <c r="G992" s="4" t="inlineStr">
        <is>
          <t>A jégcsapok a tél egyik legszebb természeti jelenségei. Varázsoljon otthonába Ön is téli hangulatot a KLG 50 LED-es jégcsap fényfüzérrel. A dekoráció világítását összesen 50 db hidegfehér LED teszi lehetővé. Tápellátását az IP44-es kültéri kivitelben kapható hálózati adapter biztosítja. Hosszúsága: 2,5 méter. Válassza a minőségi termékeket és rendeljen webáruházunkból.</t>
        </is>
      </c>
    </row>
    <row r="993">
      <c r="A993" s="3" t="inlineStr">
        <is>
          <t>KBC 50</t>
        </is>
      </c>
      <c r="B993" s="2" t="inlineStr">
        <is>
          <t>Home KBC 50 LED-es gömb fényfüzér, 4,9 m / 50 db színváltó LED, opál gömb dekoráció, fekete vezeték, hálózati adapter, beltéri kivitel</t>
        </is>
      </c>
      <c r="C993" s="1" t="n">
        <v>8690.0</v>
      </c>
      <c r="D993" s="7" t="n">
        <f>HYPERLINK("https://www.somogyi.hu/product/home-kbc-50-led-es-gomb-fenyfuzer-4-9-m-50-db-szinvalto-led-opal-gomb-dekoracio-fekete-vezetek-halozati-adapter-belteri-kivitel-kbc-50-15647","https://www.somogyi.hu/product/home-kbc-50-led-es-gomb-fenyfuzer-4-9-m-50-db-szinvalto-led-opal-gomb-dekoracio-fekete-vezetek-halozati-adapter-belteri-kivitel-kbc-50-15647")</f>
        <v>0.0</v>
      </c>
      <c r="E993" s="7" t="n">
        <f>HYPERLINK("https://www.somogyi.hu/data/img/product_main_images/small/15647.jpg","https://www.somogyi.hu/data/img/product_main_images/small/15647.jpg")</f>
        <v>0.0</v>
      </c>
      <c r="F993" s="2" t="inlineStr">
        <is>
          <t>5999084936815</t>
        </is>
      </c>
      <c r="G993" s="4" t="inlineStr">
        <is>
          <t>Szeretne egyedi és dinamikus világítási élményt teremteni otthonában vagy a kertjében?
A KBC 50 pont ezt nyújtja Önnek! Ez a kül- és beltéri kivitelű fényfüzér 50 darab, egymástól függetlenül színváltó LED-del rendelkezik, amelyek mind opál gömb dekorációkban helyezkednek el. 
Az 5 méteres fekete vezeték gondoskodik arról, hogy a fényfüzér könnyedén elérjen a kívánt telepítési helyre, míg a kültéri IP44 hálózati adapter garantálja a biztonságos és stabil tápellátást.
Változtassa meg otthona vagy kertje hangulatát a KBC 50 fényfüzérrel, és élvezze a lenyűgöző színváltó LED-ek által teremtett varázslatos atmoszférát!</t>
        </is>
      </c>
    </row>
    <row r="994">
      <c r="A994" s="3" t="inlineStr">
        <is>
          <t>KLG 25</t>
        </is>
      </c>
      <c r="B994" s="2" t="inlineStr">
        <is>
          <t>Home KLG 25 micro LED-es gyöngy fényfüzér, 1,5 m / 25 db melegfehér LED, állófényű, átlátszó vezeték, elemes, beltéri kivitel</t>
        </is>
      </c>
      <c r="C994" s="1" t="n">
        <v>4290.0</v>
      </c>
      <c r="D994" s="7" t="n">
        <f>HYPERLINK("https://www.somogyi.hu/product/home-klg-25-micro-led-es-gyongy-fenyfuzer-1-5-m-25-db-melegfeher-led-allofenyu-atlatszo-vezetek-elemes-belteri-kivitel-klg-25-15601","https://www.somogyi.hu/product/home-klg-25-micro-led-es-gyongy-fenyfuzer-1-5-m-25-db-melegfeher-led-allofenyu-atlatszo-vezetek-elemes-belteri-kivitel-klg-25-15601")</f>
        <v>0.0</v>
      </c>
      <c r="E994" s="7" t="n">
        <f>HYPERLINK("https://www.somogyi.hu/data/img/product_main_images/small/15601.jpg","https://www.somogyi.hu/data/img/product_main_images/small/15601.jpg")</f>
        <v>0.0</v>
      </c>
      <c r="F994" s="2" t="inlineStr">
        <is>
          <t>5999084936358</t>
        </is>
      </c>
      <c r="G994" s="4" t="inlineStr">
        <is>
          <t>Varázsoljon otthonába eleganciát és melegséget a KLG 25 micro-LED gyöngyfüzérrel! 
Ez a lenyűgöző beltéri dekoráció 25 melegfehér LED-del és akril gyöngyökkel díszítve tökéletes kiegészítője lehet bármelyik helyiségnek. 
Az átlátszó vezeték és a be/ki kapcsoló egyszerű használatot biztosít, míg a tápellátást 3 darab 1,5 V (AA) elem szolgáltatja (nem tartozék). 
Tegye feledhetetlenné otthonát ezzel a gyönyörű füzérrel!</t>
        </is>
      </c>
    </row>
    <row r="995">
      <c r="A995" s="3" t="inlineStr">
        <is>
          <t>ML 21/WW</t>
        </is>
      </c>
      <c r="B995" s="2" t="inlineStr">
        <is>
          <t>Home ML 21/WW micro LED-es kristály fényfüzér, 1,9 m / 20 db melegfehér LED, állófényű, átlátszó vezeték, elemes, beltéri kivitel</t>
        </is>
      </c>
      <c r="C995" s="1" t="n">
        <v>1850.0</v>
      </c>
      <c r="D995" s="7" t="n">
        <f>HYPERLINK("https://www.somogyi.hu/product/home-ml-21-ww-micro-led-es-kristaly-fenyfuzer-1-9-m-20-db-melegfeher-led-allofenyu-atlatszo-vezetek-elemes-belteri-kivitel-ml-21-ww-16026","https://www.somogyi.hu/product/home-ml-21-ww-micro-led-es-kristaly-fenyfuzer-1-9-m-20-db-melegfeher-led-allofenyu-atlatszo-vezetek-elemes-belteri-kivitel-ml-21-ww-16026")</f>
        <v>0.0</v>
      </c>
      <c r="E995" s="7" t="n">
        <f>HYPERLINK("https://www.somogyi.hu/data/img/product_main_images/small/16026.jpg","https://www.somogyi.hu/data/img/product_main_images/small/16026.jpg")</f>
        <v>0.0</v>
      </c>
      <c r="F995" s="2" t="inlineStr">
        <is>
          <t>5999084940584</t>
        </is>
      </c>
      <c r="G995" s="4" t="inlineStr">
        <is>
          <t>Varázsoljon otthonába eleganciát és melegséget az ML 21/WW micro-LED kristály füzérrel! 
Ez a lenyűgöző beltéri dekoráció 20 melegfehér LED-del és akril kristályokkal díszítve tökéletes kiegészítője lehet bármelyik helyiségnek. 
Az átlátszó vezeték és a be/ki kapcsoló egyszerű használatot biztosít, míg a tápellátást 2 darab 1,5 V (AA) elem szolgáltatja (nem tartozék). 
Tegye feledhetetlenné otthonát ezzel a gyönyörű füzérrel!</t>
        </is>
      </c>
    </row>
    <row r="996">
      <c r="A996" s="3" t="inlineStr">
        <is>
          <t>LP 20/WW</t>
        </is>
      </c>
      <c r="B996" s="2" t="inlineStr">
        <is>
          <t>Home LP 20/WW LED-es villanykörte fényfüzér, 9,5 m / 20 db melegfehér LED, villanykörte búra, állófényű, átlátszó vezeték, adapter, kül- és beltéri kivitel</t>
        </is>
      </c>
      <c r="C996" s="1" t="n">
        <v>11990.0</v>
      </c>
      <c r="D996" s="7" t="n">
        <f>HYPERLINK("https://www.somogyi.hu/product/home-lp-20-ww-led-es-villanykorte-fenyfuzer-9-5-m-20-db-melegfeher-led-villanykorte-bura-allofenyu-atlatszo-vezetek-adapter-kul-es-belteri-kivitel-lp-20-ww-14843","https://www.somogyi.hu/product/home-lp-20-ww-led-es-villanykorte-fenyfuzer-9-5-m-20-db-melegfeher-led-villanykorte-bura-allofenyu-atlatszo-vezetek-adapter-kul-es-belteri-kivitel-lp-20-ww-14843")</f>
        <v>0.0</v>
      </c>
      <c r="E996" s="7" t="n">
        <f>HYPERLINK("https://www.somogyi.hu/data/img/product_main_images/small/14843.jpg","https://www.somogyi.hu/data/img/product_main_images/small/14843.jpg")</f>
        <v>0.0</v>
      </c>
      <c r="F996" s="2" t="inlineStr">
        <is>
          <t>5999084928803</t>
        </is>
      </c>
      <c r="G996" s="4" t="inlineStr">
        <is>
          <t>Szeretne egy olyan világítási megoldást, ami egyszerre kifinomult és praktikus, valamint bármilyen helyszínen használható?
Az LP 20/WW az a választás, amire szüksége van. Ez a kül- és beltéri kivitelű termék 20 műanyag villanykörtét vonultat fel, melyek mindegyikében egy melegfehér LED biztosítja az ideális fényerőt. 
Az átlátszó vezeték szinte észrevétlenül olvad bele környezetébe, így a fények dominálnak, nem pedig a kábel. 
Emellett a kültéri IP44-es hálózati adapter biztosítja, hogy az időjárási körülmények ne legyenek akadályai a tökéletes hangulat megteremtésének.
Ne álljon meg egy sima világításnál! Az LP 20/WW-vel bűvölje el otthonát vagy kertjét, és élvezze a meghitt fények különleges atmoszféráját!</t>
        </is>
      </c>
    </row>
    <row r="997">
      <c r="A997" s="3" t="inlineStr">
        <is>
          <t>KIL 40C/M</t>
        </is>
      </c>
      <c r="B997" s="2" t="inlineStr">
        <is>
          <t>Home KIL 40C/M LED-es fényfüzér, 4 m / 40 db színes dekorált LED, állófényű, zöld vezeték, hálózati adapter, beltéri kivitel</t>
        </is>
      </c>
      <c r="C997" s="1" t="n">
        <v>4890.0</v>
      </c>
      <c r="D997" s="7" t="n">
        <f>HYPERLINK("https://www.somogyi.hu/product/home-kil-40c-m-led-es-fenyfuzer-4-m-40-db-szines-dekoralt-led-allofenyu-zold-vezetek-halozati-adapter-belteri-kivitel-kil-40c-m-15576","https://www.somogyi.hu/product/home-kil-40c-m-led-es-fenyfuzer-4-m-40-db-szines-dekoralt-led-allofenyu-zold-vezetek-halozati-adapter-belteri-kivitel-kil-40c-m-15576")</f>
        <v>0.0</v>
      </c>
      <c r="E997" s="7" t="n">
        <f>HYPERLINK("https://www.somogyi.hu/data/img/product_main_images/small/15576.jpg","https://www.somogyi.hu/data/img/product_main_images/small/15576.jpg")</f>
        <v>0.0</v>
      </c>
      <c r="F997" s="2" t="inlineStr">
        <is>
          <t>5999084936105</t>
        </is>
      </c>
      <c r="G997" s="4" t="inlineStr">
        <is>
          <t>Vidám és színes világítási megoldást keres beltéri használatra?
A KIL 40C/M tökéletes választás az Ön számára! A füzér 40 darab színes LED-et tartalmaz, mindegyiken színes dekorációval, amely még élénkebbé és vidámabbá teszi otthonát. 
A zöld vezeték diszkréten illeszkedik a karácsonyfa környezetébe, ezért a figyelem teljesen a színes LED-eken és dekorációkon marad. 
Ráadásul a tápellátás közvetlenül a hálózatról történik (230 V~), így nem kell aggódnia az elemek cseréje miatt.
Hozza meg a döntést most, és vigyen egy kis színt és vidámságot otthonába a KIL 40C/M-mel!</t>
        </is>
      </c>
    </row>
    <row r="998">
      <c r="A998" s="6" t="inlineStr">
        <is>
          <t xml:space="preserve">   Karácsonyi dekorációs világítás / Fényfüggöny</t>
        </is>
      </c>
      <c r="B998" s="6" t="inlineStr">
        <is>
          <t/>
        </is>
      </c>
      <c r="C998" s="6" t="inlineStr">
        <is>
          <t/>
        </is>
      </c>
      <c r="D998" s="6" t="inlineStr">
        <is>
          <t/>
        </is>
      </c>
      <c r="E998" s="6" t="inlineStr">
        <is>
          <t/>
        </is>
      </c>
      <c r="F998" s="6" t="inlineStr">
        <is>
          <t/>
        </is>
      </c>
      <c r="G998" s="6" t="inlineStr">
        <is>
          <t/>
        </is>
      </c>
    </row>
    <row r="999">
      <c r="A999" s="3" t="inlineStr">
        <is>
          <t>KKF 608/WW</t>
        </is>
      </c>
      <c r="B999" s="2" t="inlineStr">
        <is>
          <t>Home KKF 608/WW LED-es fényfüggöny, 20 m / 600 db melegfehér LED, 8 fényprogram, fehér vezeték, hálózati adapter, kül- és beltéri kivitel</t>
        </is>
      </c>
      <c r="C999" s="1" t="n">
        <v>21990.0</v>
      </c>
      <c r="D999" s="7" t="n">
        <f>HYPERLINK("https://www.somogyi.hu/product/home-kkf-608-ww-led-es-fenyfuggony-20-m-600-db-melegfeher-led-8-fenyprogram-feher-vezetek-halozati-adapter-kul-es-belteri-kivitel-kkf-608-ww-16965","https://www.somogyi.hu/product/home-kkf-608-ww-led-es-fenyfuggony-20-m-600-db-melegfeher-led-8-fenyprogram-feher-vezetek-halozati-adapter-kul-es-belteri-kivitel-kkf-608-ww-16965")</f>
        <v>0.0</v>
      </c>
      <c r="E999" s="7" t="n">
        <f>HYPERLINK("https://www.somogyi.hu/data/img/product_main_images/small/16965.jpg","https://www.somogyi.hu/data/img/product_main_images/small/16965.jpg")</f>
        <v>0.0</v>
      </c>
      <c r="F999" s="2" t="inlineStr">
        <is>
          <t>5999084949976</t>
        </is>
      </c>
      <c r="G999" s="4" t="inlineStr">
        <is>
          <t>A KKF 608/WW jégcsap fényfüggöny tökéletesen pompás ünnepi hangulatot varázsol a feledhetetlen eseményekre.
A 600 db melegfehér LED fény diszkrét csillogásával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608/WW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00">
      <c r="A1000" s="3" t="inlineStr">
        <is>
          <t>KKF 908/WH</t>
        </is>
      </c>
      <c r="B1000" s="2" t="inlineStr">
        <is>
          <t>Home KKF 908/WH LED-es fényfüggöny, 30 m / 900 db hidegfehér LED, 8 fényprogram, fehér vezeték, hálózati adapter, kül- és beltéri kivitel</t>
        </is>
      </c>
      <c r="C1000" s="1" t="n">
        <v>31290.0</v>
      </c>
      <c r="D1000" s="7" t="n">
        <f>HYPERLINK("https://www.somogyi.hu/product/home-kkf-908-wh-led-es-fenyfuggony-30-m-900-db-hidegfeher-led-8-fenyprogram-feher-vezetek-halozati-adapter-kul-es-belteri-kivitel-kkf-908-wh-16966","https://www.somogyi.hu/product/home-kkf-908-wh-led-es-fenyfuggony-30-m-900-db-hidegfeher-led-8-fenyprogram-feher-vezetek-halozati-adapter-kul-es-belteri-kivitel-kkf-908-wh-16966")</f>
        <v>0.0</v>
      </c>
      <c r="E1000" s="7" t="n">
        <f>HYPERLINK("https://www.somogyi.hu/data/img/product_main_images/small/16966.jpg","https://www.somogyi.hu/data/img/product_main_images/small/16966.jpg")</f>
        <v>0.0</v>
      </c>
      <c r="F1000" s="2" t="inlineStr">
        <is>
          <t>5999084949983</t>
        </is>
      </c>
      <c r="G1000" s="4" t="inlineStr">
        <is>
          <t>A KKF 908/WH fényfüggöny a hidegfehér tündöklő LED fényével gyakori eleme a pompás esküvőknek és az ünnepi és egyéb rendezvényeknek egyaránt. 
Magas fényével igazán színvonalassá tehetjük a jeles eseményeket, születésnapokat, kerti ünnepségeket, fogadásokat.
A 900 db magasfényű hidegfehér LED fény pompázatosan világíthatja meg az Ön otthonát és ezáltal meghitt, hangulatot teremt kül- és beltéren is.
Ajánljuk továbbá a bensőséges karácsonyi időszakra családi házak, lakások erkélyeire, üzletek, irodák, kirakatok ékesítésére.
A fényfüggöny hossza 30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01">
      <c r="A1001" s="3" t="inlineStr">
        <is>
          <t>KAF 210LC/WW</t>
        </is>
      </c>
      <c r="B1001" s="2" t="inlineStr">
        <is>
          <t>Home KAF 210LC/WW LED-es fényfüggöny, 2x1 m / 210 db melegfehér LED, fehér vezeték, állófényű, hálózati adapter, kül- és beltéri kivitel</t>
        </is>
      </c>
      <c r="C1001" s="1" t="n">
        <v>10990.0</v>
      </c>
      <c r="D1001" s="7" t="n">
        <f>HYPERLINK("https://www.somogyi.hu/product/home-kaf-210lc-ww-led-es-fenyfuggony-2x1-m-210-db-melegfeher-led-feher-vezetek-allofenyu-halozati-adapter-kul-es-belteri-kivitel-kaf-210lc-ww-17319","https://www.somogyi.hu/product/home-kaf-210lc-ww-led-es-fenyfuggony-2x1-m-210-db-melegfeher-led-feher-vezetek-allofenyu-halozati-adapter-kul-es-belteri-kivitel-kaf-210lc-ww-17319")</f>
        <v>0.0</v>
      </c>
      <c r="E1001" s="7" t="n">
        <f>HYPERLINK("https://www.somogyi.hu/data/img/product_main_images/small/17319.jpg","https://www.somogyi.hu/data/img/product_main_images/small/17319.jpg")</f>
        <v>0.0</v>
      </c>
      <c r="F1001" s="2" t="inlineStr">
        <is>
          <t>5999084953416</t>
        </is>
      </c>
      <c r="G1001" s="4" t="inlineStr">
        <is>
          <t>A KAF 210LC/WW állófényű jégcsap fényfüggöny tökéletesen pompás karácsonyi hangulatot varázsol e csodás ünnepre.
A 210 db álomszép melegfehér LED fény 21 db füzérbe foglalva diszkréten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1002">
      <c r="A1002" s="3" t="inlineStr">
        <is>
          <t>KKF 158/WW</t>
        </is>
      </c>
      <c r="B1002" s="2" t="inlineStr">
        <is>
          <t>Home KKF 158/WW LED-es fényfüggöny, 5 m / 150 db melegfehér LED, 8 fényprogram, fehér vezeték, hálózati adapter, kül- és beltéri kivitel</t>
        </is>
      </c>
      <c r="C1002" s="1" t="n">
        <v>8690.0</v>
      </c>
      <c r="D1002" s="7" t="n">
        <f>HYPERLINK("https://www.somogyi.hu/product/home-kkf-158-ww-led-es-fenyfuggony-5-m-150-db-melegfeher-led-8-fenyprogram-feher-vezetek-halozati-adapter-kul-es-belteri-kivitel-kkf-158-ww-16967","https://www.somogyi.hu/product/home-kkf-158-ww-led-es-fenyfuggony-5-m-150-db-melegfeher-led-8-fenyprogram-feher-vezetek-halozati-adapter-kul-es-belteri-kivitel-kkf-158-ww-16967")</f>
        <v>0.0</v>
      </c>
      <c r="E1002" s="7" t="n">
        <f>HYPERLINK("https://www.somogyi.hu/data/img/product_main_images/small/16967.jpg","https://www.somogyi.hu/data/img/product_main_images/small/16967.jpg")</f>
        <v>0.0</v>
      </c>
      <c r="F1002" s="2" t="inlineStr">
        <is>
          <t>5999084949990</t>
        </is>
      </c>
      <c r="G1002" s="4" t="inlineStr">
        <is>
          <t>Tegye ünnepélyessé otthonát, irodáját a KKF 158/WW melegfehér jégcsap fényfüggönnyel!
150 db szikrázó melegfehér LED fényáradat világíthatja meg az Ön otthonát és ezáltal meghitt, békés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1003">
      <c r="A1003" s="3" t="inlineStr">
        <is>
          <t>KKF 158/WH</t>
        </is>
      </c>
      <c r="B1003" s="2" t="inlineStr">
        <is>
          <t>Home KKF 158/WH LED-es fényfüggöny, 5 m / 150 db hidegfehér LED, 8 fényprogram, fehér vezeték, hálózati adapter, kül- és beltéri kivitel</t>
        </is>
      </c>
      <c r="C1003" s="1" t="n">
        <v>8690.0</v>
      </c>
      <c r="D1003" s="7" t="n">
        <f>HYPERLINK("https://www.somogyi.hu/product/home-kkf-158-wh-led-es-fenyfuggony-5-m-150-db-hidegfeher-led-8-fenyprogram-feher-vezetek-halozati-adapter-kul-es-belteri-kivitel-kkf-158-wh-16968","https://www.somogyi.hu/product/home-kkf-158-wh-led-es-fenyfuggony-5-m-150-db-hidegfeher-led-8-fenyprogram-feher-vezetek-halozati-adapter-kul-es-belteri-kivitel-kkf-158-wh-16968")</f>
        <v>0.0</v>
      </c>
      <c r="E1003" s="7" t="n">
        <f>HYPERLINK("https://www.somogyi.hu/data/img/product_main_images/small/16968.jpg","https://www.somogyi.hu/data/img/product_main_images/small/16968.jpg")</f>
        <v>0.0</v>
      </c>
      <c r="F1003" s="2" t="inlineStr">
        <is>
          <t>5999084950002</t>
        </is>
      </c>
      <c r="G1003" s="4" t="inlineStr">
        <is>
          <t>Tegye ünnepélyessé otthonát, irodáját a KKF 158/WH hidegfehér jégcsap fényfüggönnyel!
150 db szikrázó hidegfehér LED fényáradat világíthatja meg az Ön otthonát és ezáltal meghitt, ünnepélyes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1004">
      <c r="A1004" s="3" t="inlineStr">
        <is>
          <t>KAF 210LC</t>
        </is>
      </c>
      <c r="B1004" s="2" t="inlineStr">
        <is>
          <t>Home KAF 210LC LED-es fényfüggöny, 2x1 m / 210 db hidegfehér LED, fehér vezeték, állófényű, hálózati adapter, kül- és beltéri kivitel</t>
        </is>
      </c>
      <c r="C1004" s="1" t="n">
        <v>10990.0</v>
      </c>
      <c r="D1004" s="7" t="n">
        <f>HYPERLINK("https://www.somogyi.hu/product/home-kaf-210lc-led-es-fenyfuggony-2x1-m-210-db-hidegfeher-led-feher-vezetek-allofenyu-halozati-adapter-kul-es-belteri-kivitel-kaf-210lc-15570","https://www.somogyi.hu/product/home-kaf-210lc-led-es-fenyfuggony-2x1-m-210-db-hidegfeher-led-feher-vezetek-allofenyu-halozati-adapter-kul-es-belteri-kivitel-kaf-210lc-15570")</f>
        <v>0.0</v>
      </c>
      <c r="E1004" s="7" t="n">
        <f>HYPERLINK("https://www.somogyi.hu/data/img/product_main_images/small/15570.jpg","https://www.somogyi.hu/data/img/product_main_images/small/15570.jpg")</f>
        <v>0.0</v>
      </c>
      <c r="F1004" s="2" t="inlineStr">
        <is>
          <t>5999084936044</t>
        </is>
      </c>
      <c r="G1004" s="4" t="inlineStr">
        <is>
          <t>A KAF 210LC jégcsap fényfüggöny tökéletesen pompás karácsonyi hangulatot varázsol e csodás ünnepre.
A 210 db ragyogó hidegfehér LED fény 21 db füzérbe foglalva a teljesség fényében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1005">
      <c r="A1005" s="3" t="inlineStr">
        <is>
          <t>KIN 168C/WW</t>
        </is>
      </c>
      <c r="B1005" s="2" t="inlineStr">
        <is>
          <t>Home KIN 168C/WH LED-es fényfüggöny, 1,2x1,4 m / 168 db melegfehér LED, fehér vezeték, állófényű, hálózati adapter, beltéri kivitel</t>
        </is>
      </c>
      <c r="C1005" s="1" t="n">
        <v>7490.0</v>
      </c>
      <c r="D1005" s="7" t="n">
        <f>HYPERLINK("https://www.somogyi.hu/product/home-kin-168c-wh-led-es-fenyfuggony-1-2x1-4-m-168-db-melegfeher-led-feher-vezetek-allofenyu-halozati-adapter-belteri-kivitel-kin-168c-ww-15625","https://www.somogyi.hu/product/home-kin-168c-wh-led-es-fenyfuggony-1-2x1-4-m-168-db-melegfeher-led-feher-vezetek-allofenyu-halozati-adapter-belteri-kivitel-kin-168c-ww-15625")</f>
        <v>0.0</v>
      </c>
      <c r="E1005" s="7" t="n">
        <f>HYPERLINK("https://www.somogyi.hu/data/img/product_main_images/small/15625.jpg","https://www.somogyi.hu/data/img/product_main_images/small/15625.jpg")</f>
        <v>0.0</v>
      </c>
      <c r="F1005" s="2" t="inlineStr">
        <is>
          <t>5999084936594</t>
        </is>
      </c>
      <c r="G1005" s="4" t="inlineStr">
        <is>
          <t>LED-es fényfüzér a karácsony jegyében! A KIN 168C/WW LED-es beltéri fényfüzérben garantáltan örömét fogja lelni.
A dekoráció összesen 12 füzérből áll, füzérenként 14 LED található rajta. A hangulatos fényeket 168 darab LED biztosítja. A világítás melegfehér színhőmérsékletű. . A füzér hossza: 1,2 méter. Válassza a minőségi termékeket és rendeljen webáruházunkból!</t>
        </is>
      </c>
    </row>
    <row r="1006">
      <c r="A1006" s="3" t="inlineStr">
        <is>
          <t>KIN 126C/WW</t>
        </is>
      </c>
      <c r="B1006" s="2" t="inlineStr">
        <is>
          <t>Home KIN 126C/WW LED-es fényfüggöny, 0,9x1,4 m / 126 db melegfehér LED, fehér vezeték, állófényű, hálózati adapter, beltéri kivitel</t>
        </is>
      </c>
      <c r="C1006" s="1" t="n">
        <v>6690.0</v>
      </c>
      <c r="D1006" s="7" t="n">
        <f>HYPERLINK("https://www.somogyi.hu/product/home-kin-126c-ww-led-es-fenyfuggony-0-9x1-4-m-126-db-melegfeher-led-feher-vezetek-allofenyu-halozati-adapter-belteri-kivitel-kin-126c-ww-15624","https://www.somogyi.hu/product/home-kin-126c-ww-led-es-fenyfuggony-0-9x1-4-m-126-db-melegfeher-led-feher-vezetek-allofenyu-halozati-adapter-belteri-kivitel-kin-126c-ww-15624")</f>
        <v>0.0</v>
      </c>
      <c r="E1006" s="7" t="n">
        <f>HYPERLINK("https://www.somogyi.hu/data/img/product_main_images/small/15624.jpg","https://www.somogyi.hu/data/img/product_main_images/small/15624.jpg")</f>
        <v>0.0</v>
      </c>
      <c r="F1006" s="2" t="inlineStr">
        <is>
          <t>5999084936587</t>
        </is>
      </c>
      <c r="G1006" s="4" t="inlineStr">
        <is>
          <t>Ékesítse otthonát, irodáját a KIN 126C/WW LED melegfehér jégcsap fényfüggönnyel!
126 db diszkrét csillogó fényáradat világíthatja meg az Ön otthonát és ezáltal meghitt, békés karácsonyi hangulatot teremt a beltéri helysiégekben.
A fényfüggöny hossza 0,9 m, amelyen 9 füzér található füzérenként 14 db LED világítással.
Az otthoni használatban ablakok belső ízléses díszévé válhat, azonkívül alkalmas a karácsonyi ünnepvárás alkalmából a kirakatok, irodák, falak impozáns dekorálására.
Tartozéka továbbá egy IP44-es kültéri kivitelben kapható hálózati adapter.
Válassza a minőségi és biztonságos termékeinket és legyen csodás belsőséges hangulatú ünnepe, rendeljen webáruházunkból!</t>
        </is>
      </c>
    </row>
    <row r="1007">
      <c r="A1007" s="3" t="inlineStr">
        <is>
          <t>KIN 168C/WH</t>
        </is>
      </c>
      <c r="B1007" s="2" t="inlineStr">
        <is>
          <t>Home KIN 168C/WH LED-es fényfüggöny, 1,2x1,4 m / 168 db hidegfehér LED, fehér vezeték, állófényű, hálózati adapter, beltéri kivitel</t>
        </is>
      </c>
      <c r="C1007" s="1" t="n">
        <v>7490.0</v>
      </c>
      <c r="D1007" s="7" t="n">
        <f>HYPERLINK("https://www.somogyi.hu/product/home-kin-168c-wh-led-es-fenyfuggony-1-2x1-4-m-168-db-hidegfeher-led-feher-vezetek-allofenyu-halozati-adapter-belteri-kivitel-kin-168c-wh-15473","https://www.somogyi.hu/product/home-kin-168c-wh-led-es-fenyfuggony-1-2x1-4-m-168-db-hidegfeher-led-feher-vezetek-allofenyu-halozati-adapter-belteri-kivitel-kin-168c-wh-15473")</f>
        <v>0.0</v>
      </c>
      <c r="E1007" s="7" t="n">
        <f>HYPERLINK("https://www.somogyi.hu/data/img/product_main_images/small/15473.jpg","https://www.somogyi.hu/data/img/product_main_images/small/15473.jpg")</f>
        <v>0.0</v>
      </c>
      <c r="F1007" s="2" t="inlineStr">
        <is>
          <t>5999084935078</t>
        </is>
      </c>
      <c r="G1007" s="4" t="inlineStr">
        <is>
          <t>LED-es fényfüzér a karácsony jegyében! A KIN 168C/WH LED-es beltéri fényfüzérben garantáltan örömét fogja lelni.
A dekoráció összesen 12 füzérből áll, és füzérenként összesen 14 LED található rajta. A hangulatos fényeket 168 darab LED biztosítja. A világítás hidegfehér színhőmérsékletű. A füzér hossza: 1,2 méter. Válassza a minőségi termékeket és rendeljen webáruházunkból!</t>
        </is>
      </c>
    </row>
    <row r="1008">
      <c r="A1008" s="3" t="inlineStr">
        <is>
          <t>KAF 100L 3M</t>
        </is>
      </c>
      <c r="B1008" s="2" t="inlineStr">
        <is>
          <t>LED-es jégcsap fényfüggöny, 8 programos, 3 m, IP44, 230V</t>
        </is>
      </c>
      <c r="C1008" s="1" t="n">
        <v>5990.0</v>
      </c>
      <c r="D1008" s="7" t="n">
        <f>HYPERLINK("https://www.somogyi.hu/product/led-es-jegcsap-fenyfuggony-8-programos-3-m-ip44-230v-kaf-100l-3m-13441","https://www.somogyi.hu/product/led-es-jegcsap-fenyfuggony-8-programos-3-m-ip44-230v-kaf-100l-3m-13441")</f>
        <v>0.0</v>
      </c>
      <c r="E1008" s="7" t="n">
        <f>HYPERLINK("https://www.somogyi.hu/data/img/product_main_images/small/13441.jpg","https://www.somogyi.hu/data/img/product_main_images/small/13441.jpg")</f>
        <v>0.0</v>
      </c>
      <c r="F1008" s="2" t="inlineStr">
        <is>
          <t>5999084915278</t>
        </is>
      </c>
      <c r="G1008" s="4" t="inlineStr">
        <is>
          <t>Karácsonykor a családi házak egyik elengedhetetlen kelléke a Led-es fényfüggöny. A KAF 100L 3M egyaránt alkalmas a kül- és beltéri használatra, amelynek világítását 100 db hidegfehér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09">
      <c r="A1009" s="3" t="inlineStr">
        <is>
          <t>KAF 200L 10M/BL</t>
        </is>
      </c>
      <c r="B1009" s="2" t="inlineStr">
        <is>
          <t>LED-es jégcsap fényfüggöny, 8 programos, 10m, IP44, 230V</t>
        </is>
      </c>
      <c r="C1009" s="1" t="n">
        <v>10690.0</v>
      </c>
      <c r="D1009" s="7" t="n">
        <f>HYPERLINK("https://www.somogyi.hu/product/led-es-jegcsap-fenyfuggony-8-programos-10m-ip44-230v-kaf-200l-10m-bl-13977","https://www.somogyi.hu/product/led-es-jegcsap-fenyfuggony-8-programos-10m-ip44-230v-kaf-200l-10m-bl-13977")</f>
        <v>0.0</v>
      </c>
      <c r="E1009" s="7" t="n">
        <f>HYPERLINK("https://www.somogyi.hu/data/img/product_main_images/small/13977.jpg","https://www.somogyi.hu/data/img/product_main_images/small/13977.jpg")</f>
        <v>0.0</v>
      </c>
      <c r="F1009" s="2" t="inlineStr">
        <is>
          <t>5999084920296</t>
        </is>
      </c>
      <c r="G1009" s="4" t="inlineStr">
        <is>
          <t>Karácsonykor a családi házak egyik elengedhetetlen kelléke a Led-es fényfüggöny. A KAF 200L 10M/BL egyaránt alkalmas a kül- és beltéri használatra, amelynek világítását 200 db kék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10">
      <c r="A1010" s="3" t="inlineStr">
        <is>
          <t>KAF 200L 10M/M</t>
        </is>
      </c>
      <c r="B1010" s="2" t="inlineStr">
        <is>
          <t>LED-es jégcsap fényfüggöny, 8 programos, 10m, IP44, 230V</t>
        </is>
      </c>
      <c r="C1010" s="1" t="n">
        <v>10690.0</v>
      </c>
      <c r="D1010" s="7" t="n">
        <f>HYPERLINK("https://www.somogyi.hu/product/led-es-jegcsap-fenyfuggony-8-programos-10m-ip44-230v-kaf-200l-10m-m-13978","https://www.somogyi.hu/product/led-es-jegcsap-fenyfuggony-8-programos-10m-ip44-230v-kaf-200l-10m-m-13978")</f>
        <v>0.0</v>
      </c>
      <c r="E1010" s="7" t="n">
        <f>HYPERLINK("https://www.somogyi.hu/data/img/product_main_images/small/13978.jpg","https://www.somogyi.hu/data/img/product_main_images/small/13978.jpg")</f>
        <v>0.0</v>
      </c>
      <c r="F1010" s="2" t="inlineStr">
        <is>
          <t>5999084920302</t>
        </is>
      </c>
      <c r="G1010" s="4" t="inlineStr">
        <is>
          <t>Karácsonykor a családi házak egyik elengedhetetlen kelléke a Led-es fényfüggöny. A KAF 200L 10M/M egyaránt alkalmas a kül- és beltéri használatra, amelynek világítását 200 db színes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11">
      <c r="A1011" s="3" t="inlineStr">
        <is>
          <t>KAF 600L 10M</t>
        </is>
      </c>
      <c r="B1011" s="2" t="inlineStr">
        <is>
          <t>Home KAF 600L 10M LED-es sziporkázó fényfüggöny, 10 m / 600 db sziporkázó melegfehér LED, fehér vezeték, hálózati adapter, kül- és beltéri kivitel</t>
        </is>
      </c>
      <c r="C1011" s="1" t="n">
        <v>28090.0</v>
      </c>
      <c r="D1011" s="7" t="n">
        <f>HYPERLINK("https://www.somogyi.hu/product/home-kaf-600l-10m-led-es-sziporkazo-fenyfuggony-10-m-600-db-sziporkazo-melegfeher-led-feher-vezetek-halozati-adapter-kul-es-belteri-kivitel-kaf-600l-10m-13982","https://www.somogyi.hu/product/home-kaf-600l-10m-led-es-sziporkazo-fenyfuggony-10-m-600-db-sziporkazo-melegfeher-led-feher-vezetek-halozati-adapter-kul-es-belteri-kivitel-kaf-600l-10m-13982")</f>
        <v>0.0</v>
      </c>
      <c r="E1011" s="7" t="n">
        <f>HYPERLINK("https://www.somogyi.hu/data/img/product_main_images/small/13982.jpg","https://www.somogyi.hu/data/img/product_main_images/small/13982.jpg")</f>
        <v>0.0</v>
      </c>
      <c r="F1011" s="2" t="inlineStr">
        <is>
          <t>5999084920340</t>
        </is>
      </c>
      <c r="G1011" s="4" t="inlineStr">
        <is>
          <t>A fényfüggöny gyakori eleme az esküvőknek, valamint az ünnepi és egyéb rendezvényeknek egyaránt. Használata rendkívül praktikus, hiszen meghitt bensőséges fényeket lehet a segítségével varázsolni.
A KAF 600L 10M egy LED-es sziporkázó fényfüggöny. A termék igazi sajátossága, hogy 600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12">
      <c r="A1012" s="3" t="inlineStr">
        <is>
          <t>KIN 294C/WW</t>
        </is>
      </c>
      <c r="B1012" s="2" t="inlineStr">
        <is>
          <t>Home KIN 294C/WW LED-es fényfüggöny, 2x1,4 m / 294 db melegfehér LED, fehér vezeték, állófényű, hálózati adapter, kül- és beltéri kivitel</t>
        </is>
      </c>
      <c r="C1012" s="1" t="n">
        <v>11490.0</v>
      </c>
      <c r="D1012" s="7" t="n">
        <f>HYPERLINK("https://www.somogyi.hu/product/home-kin-294c-ww-led-es-fenyfuggony-2x1-4-m-294-db-melegfeher-led-feher-vezetek-allofenyu-halozati-adapter-kul-es-belteri-kivitel-kin-294c-ww-18139","https://www.somogyi.hu/product/home-kin-294c-ww-led-es-fenyfuggony-2x1-4-m-294-db-melegfeher-led-feher-vezetek-allofenyu-halozati-adapter-kul-es-belteri-kivitel-kin-294c-ww-18139")</f>
        <v>0.0</v>
      </c>
      <c r="E1012" s="7" t="n">
        <f>HYPERLINK("https://www.somogyi.hu/data/img/product_main_images/small/18139.jpg","https://www.somogyi.hu/data/img/product_main_images/small/18139.jpg")</f>
        <v>0.0</v>
      </c>
      <c r="F1012" s="2" t="inlineStr">
        <is>
          <t>5999084961619</t>
        </is>
      </c>
      <c r="G1012" s="4" t="inlineStr">
        <is>
          <t xml:space="preserve"> • kül- és beltéri kivitel 
 • 294 db melegfehér, állófényű LED 
 • 21 füzér, füzérenként 14 LED 
 • fehér vezeték 
 • 10 cm LED távolság, 100 cm füzértávolság 
 • 5 m tápvezeték 
 • tápellátás: kültéri IP44-es hálózati adapter 
 • méret: 2 x 1,4 m 
 • csomagolás: műanyag doboz színes palásttal</t>
        </is>
      </c>
    </row>
    <row r="1013">
      <c r="A1013" s="3" t="inlineStr">
        <is>
          <t>KIN 294C/WH</t>
        </is>
      </c>
      <c r="B1013" s="2" t="inlineStr">
        <is>
          <t>Home KIN 294C/WH LED-es fényfüggöny, 2x1,4 m / 294 db hidegfehér LED, fehér vezeték, állófényű, hálózati adapter, kül- és beltéri kivitel</t>
        </is>
      </c>
      <c r="C1013" s="1" t="n">
        <v>11490.0</v>
      </c>
      <c r="D1013" s="7" t="n">
        <f>HYPERLINK("https://www.somogyi.hu/product/home-kin-294c-wh-led-es-fenyfuggony-2x1-4-m-294-db-hidegfeher-led-feher-vezetek-allofenyu-halozati-adapter-kul-es-belteri-kivitel-kin-294c-wh-18138","https://www.somogyi.hu/product/home-kin-294c-wh-led-es-fenyfuggony-2x1-4-m-294-db-hidegfeher-led-feher-vezetek-allofenyu-halozati-adapter-kul-es-belteri-kivitel-kin-294c-wh-18138")</f>
        <v>0.0</v>
      </c>
      <c r="E1013" s="7" t="n">
        <f>HYPERLINK("https://www.somogyi.hu/data/img/product_main_images/small/18138.jpg","https://www.somogyi.hu/data/img/product_main_images/small/18138.jpg")</f>
        <v>0.0</v>
      </c>
      <c r="F1013" s="2" t="inlineStr">
        <is>
          <t>5999084961602</t>
        </is>
      </c>
      <c r="G1013" s="4" t="inlineStr">
        <is>
          <t xml:space="preserve"> • kül- és beltéri kivitel 
 • 294 db hidegfehér, állófényű LED 
 • 21 füzér, füzérenként 14 LED 
 • fehér vezeték 
 • 10 cm LED távolság, 100 cm füzértávolság 
 • 5 m tápvezeték 
 • tápellátás: kültéri IP44-es hálózati adapter 
 • méret: 2 x 1,4 m 
 • csomagolás: műanyag doboz színes palásttal</t>
        </is>
      </c>
    </row>
    <row r="1014">
      <c r="A1014" s="3" t="inlineStr">
        <is>
          <t>KIN 126C/WH</t>
        </is>
      </c>
      <c r="B1014" s="2" t="inlineStr">
        <is>
          <t>Home KIN 126C/WH LED-es fényfüggöny, 0,9x1,4 m / 126 db hidegfehér LED, fehér vezeték, állófényű, hálózati adapter, beltéri kivitel</t>
        </is>
      </c>
      <c r="C1014" s="1" t="n">
        <v>6690.0</v>
      </c>
      <c r="D1014" s="7" t="n">
        <f>HYPERLINK("https://www.somogyi.hu/product/home-kin-126c-wh-led-es-fenyfuggony-0-9x1-4-m-126-db-hidegfeher-led-feher-vezetek-allofenyu-halozati-adapter-belteri-kivitel-kin-126c-wh-15472","https://www.somogyi.hu/product/home-kin-126c-wh-led-es-fenyfuggony-0-9x1-4-m-126-db-hidegfeher-led-feher-vezetek-allofenyu-halozati-adapter-belteri-kivitel-kin-126c-wh-15472")</f>
        <v>0.0</v>
      </c>
      <c r="E1014" s="7" t="n">
        <f>HYPERLINK("https://www.somogyi.hu/data/img/product_main_images/small/15472.jpg","https://www.somogyi.hu/data/img/product_main_images/small/15472.jpg")</f>
        <v>0.0</v>
      </c>
      <c r="F1014" s="2" t="inlineStr">
        <is>
          <t>5999084935061</t>
        </is>
      </c>
      <c r="G1014" s="4" t="inlineStr">
        <is>
          <t>Varázsolja ünnepélyessé otthonát, irodáját a KIN 126C/WH hidegfehér LED fényfüggönnyel!
126 db szikrázó hidegfehér LED fényáradat világíthatja meg az Ön otthonát és ezáltal meghitt, békés karácsonyi hangulatot teremt a beltéri helyiségekben.
A függöny hossza 3 m, amely 9 füzérből áll és füzérenként 14 LED ragyogja be az ünnepet.
A fényfüggönnyel igényessé, tündöklővé varázsolhatjuk a jeles eseményeket, születésnapokat, fogadásokat és a csodás esküvőket.
Ablakok belső éke mellett, falfelületek ízléses díszévé is válhat.
Az otthoni használaton kívül alkalmas a karácsonyi ünnepvárás alkalmából a kirakatok, irodák impozáns beltéri ékesítésére.
Válassza a minőségi és biztonságos termékeinket és legyen pompás belsőséges hangulatú ünnepe, rendeljen webáruházunkból!</t>
        </is>
      </c>
    </row>
    <row r="1015">
      <c r="A1015" s="3" t="inlineStr">
        <is>
          <t>KAF 300L 5M</t>
        </is>
      </c>
      <c r="B1015" s="2" t="inlineStr">
        <is>
          <t>Home KAF 300L 5M LED-es sziporkázó fényfüggöny, 5 m / 300 db sziporkázó melegfehér LED, fehér vezeték, hálózati adapter, kül- és beltéri kivitel</t>
        </is>
      </c>
      <c r="C1015" s="1" t="n">
        <v>17290.0</v>
      </c>
      <c r="D1015" s="7" t="n">
        <f>HYPERLINK("https://www.somogyi.hu/product/home-kaf-300l-5m-led-es-sziporkazo-fenyfuggony-5-m-300-db-sziporkazo-melegfeher-led-feher-vezetek-halozati-adapter-kul-es-belteri-kivitel-kaf-300l-5m-14727","https://www.somogyi.hu/product/home-kaf-300l-5m-led-es-sziporkazo-fenyfuggony-5-m-300-db-sziporkazo-melegfeher-led-feher-vezetek-halozati-adapter-kul-es-belteri-kivitel-kaf-300l-5m-14727")</f>
        <v>0.0</v>
      </c>
      <c r="E1015" s="7" t="n">
        <f>HYPERLINK("https://www.somogyi.hu/data/img/product_main_images/small/14727.jpg","https://www.somogyi.hu/data/img/product_main_images/small/14727.jpg")</f>
        <v>0.0</v>
      </c>
      <c r="F1015" s="2" t="inlineStr">
        <is>
          <t>5999084927691</t>
        </is>
      </c>
      <c r="G1015" s="4" t="inlineStr">
        <is>
          <t>A fényfüggöny gyakori eleme az esküvőknek, valamint az ünnepi és egyéb rendezvényeknek egyaránt. Használata rendkívül praktikus, hiszen meghitt bensőséges fényeket lehet a segítségével varázsolni.
A KAF 300L 5M egy LED-es sziporkázó fényfüggöny. A termék igazi sajátossága, hogy 300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16">
      <c r="A1016" s="3" t="inlineStr">
        <is>
          <t>KKF 308/WH</t>
        </is>
      </c>
      <c r="B1016" s="2" t="inlineStr">
        <is>
          <t>Home KKF 308/WH LED-es fényfüggöny, 10 m / 300 db hidegfehér LED, 8 fényprogram, fehér vezeték, hálózati adapter, kül- és beltéri kivitel</t>
        </is>
      </c>
      <c r="C1016" s="1" t="n">
        <v>13290.0</v>
      </c>
      <c r="D1016" s="7" t="n">
        <f>HYPERLINK("https://www.somogyi.hu/product/home-kkf-308-wh-led-es-fenyfuggony-10-m-300-db-hidegfeher-led-8-fenyprogram-feher-vezetek-halozati-adapter-kul-es-belteri-kivitel-kkf-308-wh-16960","https://www.somogyi.hu/product/home-kkf-308-wh-led-es-fenyfuggony-10-m-300-db-hidegfeher-led-8-fenyprogram-feher-vezetek-halozati-adapter-kul-es-belteri-kivitel-kkf-308-wh-16960")</f>
        <v>0.0</v>
      </c>
      <c r="E1016" s="7" t="n">
        <f>HYPERLINK("https://www.somogyi.hu/data/img/product_main_images/small/16960.jpg","https://www.somogyi.hu/data/img/product_main_images/small/16960.jpg")</f>
        <v>0.0</v>
      </c>
      <c r="F1016" s="2" t="inlineStr">
        <is>
          <t>5999084949921</t>
        </is>
      </c>
      <c r="G1016" s="4" t="inlineStr">
        <is>
          <t>A KKF 308/WH jégcsap fényfüggöny tökéletesen pompás ünnepi hangulatot varázsol a feledhetetlen eseményekre.
A 300 db magasfényű hidegfehér LED fény pompázatosan világíthatja meg az Ön otthonát és ezáltal meghitt, békés karácsonyi hangulatot teremt kül- és beltéren egyaránt.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kültéri rendezvény sátrak csodaszép díszévé is válhat.
Válassza a minőségi termékeinket és legyen csodás belsőséges hangulatú ünnepe, rendeljen webáruházunkból!</t>
        </is>
      </c>
    </row>
    <row r="1017">
      <c r="A1017" s="3" t="inlineStr">
        <is>
          <t>KKF 308/WW</t>
        </is>
      </c>
      <c r="B1017" s="2" t="inlineStr">
        <is>
          <t>Home KKF 308/WW LED-es fényfüggöny, 10 m / 300 db melegfehér LED, 8 fényprogram, fehér vezeték, hálózati adapter, kül- és beltéri kivitel</t>
        </is>
      </c>
      <c r="C1017" s="1" t="n">
        <v>13290.0</v>
      </c>
      <c r="D1017" s="7" t="n">
        <f>HYPERLINK("https://www.somogyi.hu/product/home-kkf-308-ww-led-es-fenyfuggony-10-m-300-db-melegfeher-led-8-fenyprogram-feher-vezetek-halozati-adapter-kul-es-belteri-kivitel-kkf-308-ww-16961","https://www.somogyi.hu/product/home-kkf-308-ww-led-es-fenyfuggony-10-m-300-db-melegfeher-led-8-fenyprogram-feher-vezetek-halozati-adapter-kul-es-belteri-kivitel-kkf-308-ww-16961")</f>
        <v>0.0</v>
      </c>
      <c r="E1017" s="7" t="n">
        <f>HYPERLINK("https://www.somogyi.hu/data/img/product_main_images/small/16961.jpg","https://www.somogyi.hu/data/img/product_main_images/small/16961.jpg")</f>
        <v>0.0</v>
      </c>
      <c r="F1017" s="2" t="inlineStr">
        <is>
          <t>5999084949938</t>
        </is>
      </c>
      <c r="G1017" s="4" t="inlineStr">
        <is>
          <t>A KKF 308/WW fényfüggöny a melegfehér csillogó LED fényével gyakori eleme a pompás esküvőknek és az ünnepi és egyéb rendezvényeknek egyaránt. 
Magas fényével igazán színvonalassá tehetjük a jeles eseményeket, születésnapokat, kerti ünnepségeket, fogadásokat.
A 300 db melegfehér LED fény diszkréten világíthatja meg az Ön otthonát és ezáltal meghitt, hangulatot teremt kül- és beltéren.
Ajánljuk továbbá a bensőséges karácsonyi időszakra családi házak, lakások erkélyeire, üzletek, irodák, kirakatok ékesítésére.
A fényfüggöny hossza 10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18">
      <c r="A1018" s="3" t="inlineStr">
        <is>
          <t>KKF 308/M</t>
        </is>
      </c>
      <c r="B1018" s="2" t="inlineStr">
        <is>
          <t>Home KKF 308/M LED-es fényfüggöny, 10 m / 300 db színes LED, 8 fényprogram, fehér vezeték, hálózati adapter, kül- és beltéri kivitel</t>
        </is>
      </c>
      <c r="C1018" s="1" t="n">
        <v>13290.0</v>
      </c>
      <c r="D1018" s="7" t="n">
        <f>HYPERLINK("https://www.somogyi.hu/product/home-kkf-308-m-led-es-fenyfuggony-10-m-300-db-szines-led-8-fenyprogram-feher-vezetek-halozati-adapter-kul-es-belteri-kivitel-kkf-308-m-16962","https://www.somogyi.hu/product/home-kkf-308-m-led-es-fenyfuggony-10-m-300-db-szines-led-8-fenyprogram-feher-vezetek-halozati-adapter-kul-es-belteri-kivitel-kkf-308-m-16962")</f>
        <v>0.0</v>
      </c>
      <c r="E1018" s="7" t="n">
        <f>HYPERLINK("https://www.somogyi.hu/data/img/product_main_images/small/16962.jpg","https://www.somogyi.hu/data/img/product_main_images/small/16962.jpg")</f>
        <v>0.0</v>
      </c>
      <c r="F1018" s="2" t="inlineStr">
        <is>
          <t>5999084949945</t>
        </is>
      </c>
      <c r="G1018" s="4" t="inlineStr">
        <is>
          <t>A KKF 308/M jégcsap fényfüggöny tökéletesen pompás ünnepi hangulatot varázsol a feledhetetlen eseményekre.
A 300 db színes LED fény ragyogóan világíthatja meg az Ön otthonát és ezáltal meghitt, békés karácsonyi hangulatot teremt a beltéri helyiségekben.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308/M jégcsap fényfüggönnyel színpompássá, tündöklővé varázsolhatjuk a jeles eseményeket, születésnapokat, kerti ünnepségeket, fogadásokat.
Ablakok belső éke mellett, beltéri falfelületek csodaszép dekorációjává válhat.
Válassza a minőségi termékeinket és legyen ragyogó, varázslatos ünnepe, rendeljen webáruházunkból!</t>
        </is>
      </c>
    </row>
    <row r="1019">
      <c r="A1019" s="3" t="inlineStr">
        <is>
          <t>KKF 308/BL</t>
        </is>
      </c>
      <c r="B1019" s="2" t="inlineStr">
        <is>
          <t>Home KKF 308/BL LED-es fényfüggöny, 10 m / 300 db kék LED, 8 fényprogram, fehér vezeték, hálózati adapter, kül- és beltéri kivitel</t>
        </is>
      </c>
      <c r="C1019" s="1" t="n">
        <v>13290.0</v>
      </c>
      <c r="D1019" s="7" t="n">
        <f>HYPERLINK("https://www.somogyi.hu/product/home-kkf-308-bl-led-es-fenyfuggony-10-m-300-db-kek-led-8-fenyprogram-feher-vezetek-halozati-adapter-kul-es-belteri-kivitel-kkf-308-bl-16963","https://www.somogyi.hu/product/home-kkf-308-bl-led-es-fenyfuggony-10-m-300-db-kek-led-8-fenyprogram-feher-vezetek-halozati-adapter-kul-es-belteri-kivitel-kkf-308-bl-16963")</f>
        <v>0.0</v>
      </c>
      <c r="E1019" s="7" t="n">
        <f>HYPERLINK("https://www.somogyi.hu/data/img/product_main_images/small/16963.jpg","https://www.somogyi.hu/data/img/product_main_images/small/16963.jpg")</f>
        <v>0.0</v>
      </c>
      <c r="F1019" s="2" t="inlineStr">
        <is>
          <t>5999084949952</t>
        </is>
      </c>
      <c r="G1019" s="4" t="inlineStr">
        <is>
          <t>Díszítse fel otthonát, irodáját a KKF 308/BL LED kék jégcsap fényfüggönnyel!
300 db tündöklő kék színű fényáradat világíthatja meg az Ön otthonát és ezáltal meghitt, békés karácsonyi hangulatot teremt kül- és beltéren egyaránt.
A fényfüggöny hossza 10 m, amely 8 programos memóriával rendelkezik és választható a tetszés szerinti folyamatos, vagy ismétlődő időzítés.
A fényfüggönnyel igényessé, tündöklővé varázsolhatjuk a jeles eseményeket, születésnapokat, kerti ünnepségeket, fogadásokat és a csodás esküvőket.
Az otthoni használaton kívül alkalmas a karácsonyi ünnepvárás alkalmából a kirakatok, irodák impozáns ékesítésére.
Ablakok külső-belső éke mellett, a teraszok, erkélyek ízléses díszévé is válhat.
Tartozéka továbbá egy IP44-es kültéri kivitelben kapható hálózati adapter.
Válassza a minőségi és biztonságos termékeinket és legyen csodás belsőséges hangulatú ünnepe, rendeljen webáruházunkból!</t>
        </is>
      </c>
    </row>
    <row r="1020">
      <c r="A1020" s="3" t="inlineStr">
        <is>
          <t>KKF 608/WH</t>
        </is>
      </c>
      <c r="B1020" s="2" t="inlineStr">
        <is>
          <t>Home KKF 608/WH LED-es fényfüggöny, 20 m / 600 db hidegfehér LED, 8 fényprogram, fehér vezeték, hálózati adapter, kül- és beltéri kivitel</t>
        </is>
      </c>
      <c r="C1020" s="1" t="n">
        <v>21990.0</v>
      </c>
      <c r="D1020" s="7" t="n">
        <f>HYPERLINK("https://www.somogyi.hu/product/home-kkf-608-wh-led-es-fenyfuggony-20-m-600-db-hidegfeher-led-8-fenyprogram-feher-vezetek-halozati-adapter-kul-es-belteri-kivitel-kkf-608-wh-16964","https://www.somogyi.hu/product/home-kkf-608-wh-led-es-fenyfuggony-20-m-600-db-hidegfeher-led-8-fenyprogram-feher-vezetek-halozati-adapter-kul-es-belteri-kivitel-kkf-608-wh-16964")</f>
        <v>0.0</v>
      </c>
      <c r="E1020" s="7" t="n">
        <f>HYPERLINK("https://www.somogyi.hu/data/img/product_main_images/small/16964.jpg","https://www.somogyi.hu/data/img/product_main_images/small/16964.jpg")</f>
        <v>0.0</v>
      </c>
      <c r="F1020" s="2" t="inlineStr">
        <is>
          <t>5999084949969</t>
        </is>
      </c>
      <c r="G1020" s="4" t="inlineStr">
        <is>
          <t>A KKF 608/WH jégcsap fényfüggöny tökéletesen ünnepi hangulatot varázsol a feledhetetlen eseményekre.
A 600 db magasfényű hidegfehér LED fény ragyogóan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21">
      <c r="A1021" s="3" t="inlineStr">
        <is>
          <t>KAF 50C LED/WW</t>
        </is>
      </c>
      <c r="B1021" s="2" t="inlineStr">
        <is>
          <t>Home KAF 50C LED/WW LED-es fényfüggöny, 0,81 m / 50 db melegfehér LED,  fehér vezeték, álló fényű, hálózati adapter, beltéri kivitel</t>
        </is>
      </c>
      <c r="C1021" s="1" t="n">
        <v>5390.0</v>
      </c>
      <c r="D1021" s="7" t="n">
        <f>HYPERLINK("https://www.somogyi.hu/product/home-kaf-50c-led-ww-led-es-fenyfuggony-0-81-m-50-db-melegfeher-led-feher-vezetek-allo-fenyu-halozati-adapter-belteri-kivitel-kaf-50c-led-ww-16148","https://www.somogyi.hu/product/home-kaf-50c-led-ww-led-es-fenyfuggony-0-81-m-50-db-melegfeher-led-feher-vezetek-allo-fenyu-halozati-adapter-belteri-kivitel-kaf-50c-led-ww-16148")</f>
        <v>0.0</v>
      </c>
      <c r="E1021" s="7" t="n">
        <f>HYPERLINK("https://www.somogyi.hu/data/img/product_main_images/small/16148.jpg","https://www.somogyi.hu/data/img/product_main_images/small/16148.jpg")</f>
        <v>0.0</v>
      </c>
      <c r="F1021" s="2" t="inlineStr">
        <is>
          <t>5999084941802</t>
        </is>
      </c>
      <c r="G1021" s="4" t="inlineStr">
        <is>
          <t>Tegye ünnepélyessé otthonát, irodáját a KAF 50C LED/WW melegfehér állófényű LED fényfüggönnyel!
50 db diszkrét csodaszép melegfehér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1022">
      <c r="A1022" s="3" t="inlineStr">
        <is>
          <t>KAF 50C LED/WH</t>
        </is>
      </c>
      <c r="B1022" s="2" t="inlineStr">
        <is>
          <t>Home KAF 50C LED/WH LED-es fényfüggöny, 0,81 m / 50 db hidegfehér LED,  fehér vezeték, álló fényű, hálózati adapter, beltéri kivitel</t>
        </is>
      </c>
      <c r="C1022" s="1" t="n">
        <v>5390.0</v>
      </c>
      <c r="D1022" s="7" t="n">
        <f>HYPERLINK("https://www.somogyi.hu/product/home-kaf-50c-led-wh-led-es-fenyfuggony-0-81-m-50-db-hidegfeher-led-feher-vezetek-allo-fenyu-halozati-adapter-belteri-kivitel-kaf-50c-led-wh-16147","https://www.somogyi.hu/product/home-kaf-50c-led-wh-led-es-fenyfuggony-0-81-m-50-db-hidegfeher-led-feher-vezetek-allo-fenyu-halozati-adapter-belteri-kivitel-kaf-50c-led-wh-16147")</f>
        <v>0.0</v>
      </c>
      <c r="E1022" s="7" t="n">
        <f>HYPERLINK("https://www.somogyi.hu/data/img/product_main_images/small/16147.jpg","https://www.somogyi.hu/data/img/product_main_images/small/16147.jpg")</f>
        <v>0.0</v>
      </c>
      <c r="F1022" s="2" t="inlineStr">
        <is>
          <t>5999084941796</t>
        </is>
      </c>
      <c r="G1022" s="4" t="inlineStr">
        <is>
          <t>Varázsolja ünnepélyessé otthonát, irodáját a KAF 50C LED/WH hidegfehér állófényű LED fényfüggönnyel!
50 db szikrázóan csodaszép hidegfehér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1023">
      <c r="A1023" s="6" t="inlineStr">
        <is>
          <t xml:space="preserve">   Karácsonyi dekorációs világítás / Fényfüggöny dekorációval</t>
        </is>
      </c>
      <c r="B1023" s="6" t="inlineStr">
        <is>
          <t/>
        </is>
      </c>
      <c r="C1023" s="6" t="inlineStr">
        <is>
          <t/>
        </is>
      </c>
      <c r="D1023" s="6" t="inlineStr">
        <is>
          <t/>
        </is>
      </c>
      <c r="E1023" s="6" t="inlineStr">
        <is>
          <t/>
        </is>
      </c>
      <c r="F1023" s="6" t="inlineStr">
        <is>
          <t/>
        </is>
      </c>
      <c r="G1023" s="6" t="inlineStr">
        <is>
          <t/>
        </is>
      </c>
    </row>
    <row r="1024">
      <c r="A1024" s="3" t="inlineStr">
        <is>
          <t>KAF 50L/WW</t>
        </is>
      </c>
      <c r="B1024" s="2" t="inlineStr">
        <is>
          <t>Home KAF 50L/WW LED-es csillag fényfüggöny, 1,35 m / 50 db melegfehér LED csillag figurákban, átlátszó vezeték, hálózati adapter, beltéri kivitel</t>
        </is>
      </c>
      <c r="C1024" s="1" t="n">
        <v>9590.0</v>
      </c>
      <c r="D1024" s="7" t="n">
        <f>HYPERLINK("https://www.somogyi.hu/product/home-kaf-50l-ww-led-es-csillag-fenyfuggony-1-35-m-50-db-melegfeher-led-csillag-figurakban-atlatszo-vezetek-halozati-adapter-belteri-kivitel-kaf-50l-ww-17320","https://www.somogyi.hu/product/home-kaf-50l-ww-led-es-csillag-fenyfuggony-1-35-m-50-db-melegfeher-led-csillag-figurakban-atlatszo-vezetek-halozati-adapter-belteri-kivitel-kaf-50l-ww-17320")</f>
        <v>0.0</v>
      </c>
      <c r="E1024" s="7" t="n">
        <f>HYPERLINK("https://www.somogyi.hu/data/img/product_main_images/small/17320.jpg","https://www.somogyi.hu/data/img/product_main_images/small/17320.jpg")</f>
        <v>0.0</v>
      </c>
      <c r="F1024" s="2" t="inlineStr">
        <is>
          <t>5999084953423</t>
        </is>
      </c>
      <c r="G1024" s="4" t="inlineStr">
        <is>
          <t>Tegye ünnepélyessé otthonát, irodáját a KAF 50L/WW melegfehér állófényű LED fényfüggönnyel!
A füzér hossza 1,35 m, amelyen 50 db melegfehér LED csillag világíthatja be az Ön otthonát és ezáltal meghitt, békés karácsonyi hangulatot teremt a beltéri helyiségekben.
Az állófényű 5 cm es diszkréten ragyogó csillagok között minden füzérben a legalsó csillag villog, így még varázslatosabb ünnepi hatás érünk el.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termékeinket és rendeljen webáruházunkból!</t>
        </is>
      </c>
    </row>
    <row r="1025">
      <c r="A1025" s="3" t="inlineStr">
        <is>
          <t>KAF 48L</t>
        </is>
      </c>
      <c r="B1025" s="2" t="inlineStr">
        <is>
          <t>Home KAF 48L LED-es csillag fényfüggöny, 1,5x1 m / 48 db hidegfehér LED csillag figurákban, átlátszó vezeték, hálózati adapter, beltéri kivitel</t>
        </is>
      </c>
      <c r="C1025" s="1" t="n">
        <v>8990.0</v>
      </c>
      <c r="D1025" s="7" t="n">
        <f>HYPERLINK("https://www.somogyi.hu/product/home-kaf-48l-led-es-csillag-fenyfuggony-1-5x1-m-48-db-hidegfeher-led-csillag-figurakban-atlatszo-vezetek-halozati-adapter-belteri-kivitel-kaf-48l-9851","https://www.somogyi.hu/product/home-kaf-48l-led-es-csillag-fenyfuggony-1-5x1-m-48-db-hidegfeher-led-csillag-figurakban-atlatszo-vezetek-halozati-adapter-belteri-kivitel-kaf-48l-9851")</f>
        <v>0.0</v>
      </c>
      <c r="E1025" s="7" t="n">
        <f>HYPERLINK("https://www.somogyi.hu/data/img/product_main_images/small/09851.jpg","https://www.somogyi.hu/data/img/product_main_images/small/09851.jpg")</f>
        <v>0.0</v>
      </c>
      <c r="F1025" s="2" t="inlineStr">
        <is>
          <t>5998312785737</t>
        </is>
      </c>
      <c r="G1025" s="4" t="inlineStr">
        <is>
          <t>Díszítse fel lakását a legszebb karácsonyi dekorációkkal! A KAF 48L egy csillag formájú LED-es fényfüggöny. A 48 darab 5 cm-es csillag világítását 48 db hidegfehér LED biztosítja. A diszkrét és ízléses hatás érdekében az csillagokat egy átlátszó vezeték köti össze.
A fényfüggöny tápellátása 24 V-os adapterrel oldható meg. Válassza a minőségi termékeket és rendeljen webáruházunkból.</t>
        </is>
      </c>
    </row>
    <row r="1026">
      <c r="A1026" s="3" t="inlineStr">
        <is>
          <t>KAF 50L</t>
        </is>
      </c>
      <c r="B1026" s="2" t="inlineStr">
        <is>
          <t>Home KAF 50L LED-es csillag fényfüggöny, 1,35 m / 50 db hidegfehér LED csillag figurákban, átlátszó vezeték, hálózati adapter, beltéri kivitel</t>
        </is>
      </c>
      <c r="C1026" s="1" t="n">
        <v>9590.0</v>
      </c>
      <c r="D1026" s="7" t="n">
        <f>HYPERLINK("https://www.somogyi.hu/product/home-kaf-50l-led-es-csillag-fenyfuggony-1-35-m-50-db-hidegfeher-led-csillag-figurakban-atlatszo-vezetek-halozati-adapter-belteri-kivitel-kaf-50l-11909","https://www.somogyi.hu/product/home-kaf-50l-led-es-csillag-fenyfuggony-1-35-m-50-db-hidegfeher-led-csillag-figurakban-atlatszo-vezetek-halozati-adapter-belteri-kivitel-kaf-50l-11909")</f>
        <v>0.0</v>
      </c>
      <c r="E1026" s="7" t="n">
        <f>HYPERLINK("https://www.somogyi.hu/data/img/product_main_images/small/11909.jpg","https://www.somogyi.hu/data/img/product_main_images/small/11909.jpg")</f>
        <v>0.0</v>
      </c>
      <c r="F1026" s="2" t="inlineStr">
        <is>
          <t>5999084901219</t>
        </is>
      </c>
      <c r="G1026" s="4" t="inlineStr">
        <is>
          <t>Díszítse fel lakását a legszebb karácsonyi dekorációkkal! A KAF50L egy csillag formájú LED-es fényfüggöny. Az 50 darab 5 cm-es csillag világítását (állófényű, minden füzérben a legalsó csillag villog) 50 db hidegfehér LED biztosítja. A karácsonyi hatás érdekében az csillagokat egy fehér vezeték köti össze. 
A fényfüggöny tápellátása 24 V-os adapterrel oldható meg. Válassza a minőségi termékeket és rendeljen webáruházunkból.</t>
        </is>
      </c>
    </row>
    <row r="1027">
      <c r="A1027" s="3" t="inlineStr">
        <is>
          <t>KAF 11/WW</t>
        </is>
      </c>
      <c r="B1027" s="2" t="inlineStr">
        <is>
          <t>Home KAF 11/WW micro LED-es figurás fényfüggöny, 2 m / 186 db melegfehér LED, harang / fenyő / csillag figurákkal, hálózati adapter, kül- és beltéri kivitel</t>
        </is>
      </c>
      <c r="C1027" s="1" t="n">
        <v>16190.0</v>
      </c>
      <c r="D1027" s="7" t="n">
        <f>HYPERLINK("https://www.somogyi.hu/product/home-kaf-11-ww-micro-led-es-figuras-fenyfuggony-2-m-186-db-melegfeher-led-harang-fenyo-csillag-figurakkal-halozati-adapter-kul-es-belteri-kivitel-kaf-11-ww-17545","https://www.somogyi.hu/product/home-kaf-11-ww-micro-led-es-figuras-fenyfuggony-2-m-186-db-melegfeher-led-harang-fenyo-csillag-figurakkal-halozati-adapter-kul-es-belteri-kivitel-kaf-11-ww-17545")</f>
        <v>0.0</v>
      </c>
      <c r="E1027" s="7" t="n">
        <f>HYPERLINK("https://www.somogyi.hu/data/img/product_main_images/small/17545.jpg","https://www.somogyi.hu/data/img/product_main_images/small/17545.jpg")</f>
        <v>0.0</v>
      </c>
      <c r="F1027" s="2" t="inlineStr">
        <is>
          <t>5999084955670</t>
        </is>
      </c>
      <c r="G1027" s="4" t="inlineStr">
        <is>
          <t>A karácsony ékes jelképeit varázsolja elénk a 186 db -os melegfehér LED pompában világító füzér, váltakozóan harang, fenyő és csillag figurákkal. 
A füzér 2 m hosszú és 10 db figura követik egymást 22 cm es sorközökkel. A maximális lelógási hossza 1 m.
Ékesítse ablakát kívülről és belülről e bájos csillogással, amely a belső tér önálló dekorációként is helység dísze lehet.
Ajánljuk továbbá az ünnepi időszakra családi házak, lakások erkélyeire, üzletek, irodák, kirakatok ékesítésére.
Lakásának csillogó díszévé válhat ezen a meghitt téli ünnepen a KAF 11/WW figurás fényfüggöny, amely kül- és beltéren egyaránt impozáns diszkrét ragyogással hozhatja el az egész család számára a karácsony varázslatos hangulatát.</t>
        </is>
      </c>
    </row>
    <row r="1028">
      <c r="A1028" s="3" t="inlineStr">
        <is>
          <t>KAF 11/WH</t>
        </is>
      </c>
      <c r="B1028" s="2" t="inlineStr">
        <is>
          <t>Home KAF 11/WH micro LED-es figurás fényfüggöny, 2 m / 186 db hidegfehér LED, harang / fenyő / csillag figurákkal, hálózati adapter, kül- és beltéri kivitel</t>
        </is>
      </c>
      <c r="C1028" s="1" t="n">
        <v>16190.0</v>
      </c>
      <c r="D1028" s="7" t="n">
        <f>HYPERLINK("https://www.somogyi.hu/product/home-kaf-11-wh-micro-led-es-figuras-fenyfuggony-2-m-186-db-hidegfeher-led-harang-fenyo-csillag-figurakkal-halozati-adapter-kul-es-belteri-kivitel-kaf-11-wh-17749","https://www.somogyi.hu/product/home-kaf-11-wh-micro-led-es-figuras-fenyfuggony-2-m-186-db-hidegfeher-led-harang-fenyo-csillag-figurakkal-halozati-adapter-kul-es-belteri-kivitel-kaf-11-wh-17749")</f>
        <v>0.0</v>
      </c>
      <c r="E1028" s="7" t="n">
        <f>HYPERLINK("https://www.somogyi.hu/data/img/product_main_images/small/17749.jpg","https://www.somogyi.hu/data/img/product_main_images/small/17749.jpg")</f>
        <v>0.0</v>
      </c>
      <c r="F1028" s="2" t="inlineStr">
        <is>
          <t>5999084957711</t>
        </is>
      </c>
      <c r="G1028" s="4" t="inlineStr">
        <is>
          <t xml:space="preserve"> • elhelyezhetőség: kültéri / beltéri 
 • fényforrás: micro LED 
 • fényforrások száma: 186 db 
 • fényforrások színe: hidegfehér 
 • vezeték színe: átlátszó 
 • hossz: fényfüggöny: 2 m • tápvezeték: 5 m 
 • tápellátás: kültéri IP44-es hálózati adapter 
 • egyéb: 10 db világító füzér, váltakozó harang/fenyő/csillag figurákkal</t>
        </is>
      </c>
    </row>
    <row r="1029">
      <c r="A1029" s="3" t="inlineStr">
        <is>
          <t>KAF 8/F</t>
        </is>
      </c>
      <c r="B1029" s="2" t="inlineStr">
        <is>
          <t>Home KAF 8/F LED-es hókristály fényfüggöny, 0,9 m / 8 db melegfehér LED akril hókristályban, átlátszó vezeték, hálózati adapter, kül- és beltéri kivitel</t>
        </is>
      </c>
      <c r="C1029" s="1" t="n">
        <v>7490.0</v>
      </c>
      <c r="D1029" s="7" t="n">
        <f>HYPERLINK("https://www.somogyi.hu/product/home-kaf-8-f-led-es-hokristaly-fenyfuggony-0-9-m-8-db-melegfeher-led-akril-hokristalyban-atlatszo-vezetek-halozati-adapter-kul-es-belteri-kivitel-kaf-8-f-16021","https://www.somogyi.hu/product/home-kaf-8-f-led-es-hokristaly-fenyfuggony-0-9-m-8-db-melegfeher-led-akril-hokristalyban-atlatszo-vezetek-halozati-adapter-kul-es-belteri-kivitel-kaf-8-f-16021")</f>
        <v>0.0</v>
      </c>
      <c r="E1029" s="7" t="n">
        <f>HYPERLINK("https://www.somogyi.hu/data/img/product_main_images/small/16021.jpg","https://www.somogyi.hu/data/img/product_main_images/small/16021.jpg")</f>
        <v>0.0</v>
      </c>
      <c r="F1029" s="2" t="inlineStr">
        <is>
          <t>5999084940539</t>
        </is>
      </c>
      <c r="G1029" s="4" t="inlineStr">
        <is>
          <t>Ékesítse lakását, irodáját az impozáns hókristály karácsonyi dekorációkkal!
A fényfüggöny 0,9 m szélességű, 8 db melegfehér LED akril hókristályt, átlátszó diszkrét vezeték köti össze. 
Kül- és beltéren egyaránt esztétikus és ünnepélyes, csillogást áraszt.
Ajánljuk karácsonyi időszakra, az ablaküvegre függesztve kívül és belül, családi házak, lakások erkélyeire, üzletek, irodák, kirakatok dekorálására.
Tartozéka 80 db tapadókorong, továbbá egy IP44-es kültéri kivitelű hálózati adapter.
A tápvezeték hossza 10 m, így praktikusan megoldható a kültéren történő elhelyezése.
Válassza a minőségi és ízlésen szép termékeinket és rendeljen webáruházunkból!</t>
        </is>
      </c>
    </row>
    <row r="1030">
      <c r="A1030" s="6" t="inlineStr">
        <is>
          <t xml:space="preserve">   Karácsonyi dekorációs világítás / Háló</t>
        </is>
      </c>
      <c r="B1030" s="6" t="inlineStr">
        <is>
          <t/>
        </is>
      </c>
      <c r="C1030" s="6" t="inlineStr">
        <is>
          <t/>
        </is>
      </c>
      <c r="D1030" s="6" t="inlineStr">
        <is>
          <t/>
        </is>
      </c>
      <c r="E1030" s="6" t="inlineStr">
        <is>
          <t/>
        </is>
      </c>
      <c r="F1030" s="6" t="inlineStr">
        <is>
          <t/>
        </is>
      </c>
      <c r="G1030" s="6" t="inlineStr">
        <is>
          <t/>
        </is>
      </c>
    </row>
    <row r="1031">
      <c r="A1031" s="3" t="inlineStr">
        <is>
          <t>KLN 240C/WH</t>
        </is>
      </c>
      <c r="B1031" s="2" t="inlineStr">
        <is>
          <t>Home KLN 240C/WH LED-es háló, 3x3 m / 240 db hidegfehér LED, zöld vezeték, állófényű, hálózati adapter, kül- és beltéri kivitel</t>
        </is>
      </c>
      <c r="C1031" s="1" t="n">
        <v>18590.0</v>
      </c>
      <c r="D1031" s="7" t="n">
        <f>HYPERLINK("https://www.somogyi.hu/product/home-kln-240c-wh-led-es-halo-3x3-m-240-db-hidegfeher-led-zold-vezetek-allofenyu-halozati-adapter-kul-es-belteri-kivitel-kln-240c-wh-15587","https://www.somogyi.hu/product/home-kln-240c-wh-led-es-halo-3x3-m-240-db-hidegfeher-led-zold-vezetek-allofenyu-halozati-adapter-kul-es-belteri-kivitel-kln-240c-wh-15587")</f>
        <v>0.0</v>
      </c>
      <c r="E1031" s="7" t="n">
        <f>HYPERLINK("https://www.somogyi.hu/data/img/product_main_images/small/15587.jpg","https://www.somogyi.hu/data/img/product_main_images/small/15587.jpg")</f>
        <v>0.0</v>
      </c>
      <c r="F1031" s="2" t="inlineStr">
        <is>
          <t>5999084936211</t>
        </is>
      </c>
      <c r="G1031" s="4" t="inlineStr">
        <is>
          <t>A KLN 240C/WH fényháló a 240 db ragyogó hidegfehér LED fényével kiválóan alkalmas arra, hogy egyszerűen és könnyedén varázsoljuk ünnepélyessé otthonunkat, udvarunkat.
A füzér mérete 3x3 méteres négyzet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ragyogó ünnepe, rendeljen webáruházunkból!</t>
        </is>
      </c>
    </row>
    <row r="1032">
      <c r="A1032" s="3" t="inlineStr">
        <is>
          <t>KLN 160C/WH</t>
        </is>
      </c>
      <c r="B1032" s="2" t="inlineStr">
        <is>
          <t>Home KLN 160C/WH LED-es háló, 2x1,5 m / 160 db hidegfehér LED, zöld vezeték, állófényű, hálózati adapter, kül- és beltéri kivitel</t>
        </is>
      </c>
      <c r="C1032" s="1" t="n">
        <v>12490.0</v>
      </c>
      <c r="D1032" s="7" t="n">
        <f>HYPERLINK("https://www.somogyi.hu/product/home-kln-160c-wh-led-es-halo-2x1-5-m-160-db-hidegfeher-led-zold-vezetek-allofenyu-halozati-adapter-kul-es-belteri-kivitel-kln-160c-wh-16089","https://www.somogyi.hu/product/home-kln-160c-wh-led-es-halo-2x1-5-m-160-db-hidegfeher-led-zold-vezetek-allofenyu-halozati-adapter-kul-es-belteri-kivitel-kln-160c-wh-16089")</f>
        <v>0.0</v>
      </c>
      <c r="E1032" s="7" t="n">
        <f>HYPERLINK("https://www.somogyi.hu/data/img/product_main_images/small/16089.jpg","https://www.somogyi.hu/data/img/product_main_images/small/16089.jpg")</f>
        <v>0.0</v>
      </c>
      <c r="F1032" s="2" t="inlineStr">
        <is>
          <t>5999084941215</t>
        </is>
      </c>
      <c r="G1032" s="4" t="inlineStr">
        <is>
          <t>A KLN 160C/WH fényháló a 160db csillogó hidegfehér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rendeljen webáruházunkból!</t>
        </is>
      </c>
    </row>
    <row r="1033">
      <c r="A1033" s="3" t="inlineStr">
        <is>
          <t>KLN 400C/WH</t>
        </is>
      </c>
      <c r="B1033" s="2" t="inlineStr">
        <is>
          <t>Home KLN 400C/WH LED-es háló, 6x4 m / 400 db hidegfehér LED, zöld vezeték, állófényű, hálózati adapter, kül- és beltéri kivitel</t>
        </is>
      </c>
      <c r="C1033" s="1" t="n">
        <v>40290.0</v>
      </c>
      <c r="D1033" s="7" t="n">
        <f>HYPERLINK("https://www.somogyi.hu/product/home-kln-400c-wh-led-es-halo-6x4-m-400-db-hidegfeher-led-zold-vezetek-allofenyu-halozati-adapter-kul-es-belteri-kivitel-kln-400c-wh-15588","https://www.somogyi.hu/product/home-kln-400c-wh-led-es-halo-6x4-m-400-db-hidegfeher-led-zold-vezetek-allofenyu-halozati-adapter-kul-es-belteri-kivitel-kln-400c-wh-15588")</f>
        <v>0.0</v>
      </c>
      <c r="E1033" s="7" t="n">
        <f>HYPERLINK("https://www.somogyi.hu/data/img/product_main_images/small/15588.jpg","https://www.somogyi.hu/data/img/product_main_images/small/15588.jpg")</f>
        <v>0.0</v>
      </c>
      <c r="F1033" s="2" t="inlineStr">
        <is>
          <t>5999084936228</t>
        </is>
      </c>
      <c r="G1033" s="4" t="inlineStr">
        <is>
          <t>A KLN 400C/WH fényháló a 400 db hidegfehér LED fényével kiválóan alkalmas arra, hogy egyszerűen és könnyedén varázsoljuk ünnepélyessé otthonunkat, udvarunkat.
A füzér mérete 6x4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varázslatos ünnepe, rendeljen webáruházunkból!</t>
        </is>
      </c>
    </row>
    <row r="1034">
      <c r="A1034" s="3" t="inlineStr">
        <is>
          <t>KLN 160C/WW</t>
        </is>
      </c>
      <c r="B1034" s="2" t="inlineStr">
        <is>
          <t>Home KLN 160C/WW LED-es háló, 2x1,5 m / 160 db melegfehér LED, zöld vezeték, állófényű, hálózati adapter, kül- és beltéri kivitel</t>
        </is>
      </c>
      <c r="C1034" s="1" t="n">
        <v>12490.0</v>
      </c>
      <c r="D1034" s="7" t="n">
        <f>HYPERLINK("https://www.somogyi.hu/product/home-kln-160c-ww-led-es-halo-2x1-5-m-160-db-melegfeher-led-zold-vezetek-allofenyu-halozati-adapter-kul-es-belteri-kivitel-kln-160c-ww-15586","https://www.somogyi.hu/product/home-kln-160c-ww-led-es-halo-2x1-5-m-160-db-melegfeher-led-zold-vezetek-allofenyu-halozati-adapter-kul-es-belteri-kivitel-kln-160c-ww-15586")</f>
        <v>0.0</v>
      </c>
      <c r="E1034" s="7" t="n">
        <f>HYPERLINK("https://www.somogyi.hu/data/img/product_main_images/small/15586.jpg","https://www.somogyi.hu/data/img/product_main_images/small/15586.jpg")</f>
        <v>0.0</v>
      </c>
      <c r="F1034" s="2" t="inlineStr">
        <is>
          <t>5999084936204</t>
        </is>
      </c>
      <c r="G1034" s="4" t="inlineStr">
        <is>
          <t>A KLN 160C/WW fényháló a 160 db csillogó melegfehér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és rendeljen webáruházunkból!</t>
        </is>
      </c>
    </row>
    <row r="1035">
      <c r="A1035" s="3" t="inlineStr">
        <is>
          <t>KLN 240C/WW</t>
        </is>
      </c>
      <c r="B1035" s="2" t="inlineStr">
        <is>
          <t>Home KLN 240C/WW LED-es háló, 3x3 m / 240 db melegfehér LED, zöld vezeték, állófényű, hálózati adapter, kül- és beltéri kivitel</t>
        </is>
      </c>
      <c r="C1035" s="1" t="n">
        <v>18590.0</v>
      </c>
      <c r="D1035" s="7" t="n">
        <f>HYPERLINK("https://www.somogyi.hu/product/home-kln-240c-ww-led-es-halo-3x3-m-240-db-melegfeher-led-zold-vezetek-allofenyu-halozati-adapter-kul-es-belteri-kivitel-kln-240c-ww-17747","https://www.somogyi.hu/product/home-kln-240c-ww-led-es-halo-3x3-m-240-db-melegfeher-led-zold-vezetek-allofenyu-halozati-adapter-kul-es-belteri-kivitel-kln-240c-ww-17747")</f>
        <v>0.0</v>
      </c>
      <c r="E1035" s="7" t="n">
        <f>HYPERLINK("https://www.somogyi.hu/data/img/product_main_images/small/17747.jpg","https://www.somogyi.hu/data/img/product_main_images/small/17747.jpg")</f>
        <v>0.0</v>
      </c>
      <c r="F1035" s="2" t="inlineStr">
        <is>
          <t>5999084957698</t>
        </is>
      </c>
      <c r="G1035" s="4" t="inlineStr">
        <is>
          <t xml:space="preserve"> • elhelyezhetőség: kültéri / beltéri 
 • fényforrás: LED 
 • fényforrások száma: 240 db 
 • fényforrások színe: melegfehér 
 • vezeték színe: zöld 
 • méret: háló: 3 m x 3 m • tápvezeték hossza: 5 m 
 • tápellátás: 230 V~50 Hz (adapteres) 
 • egyéb: csomagolás: műanyag kofferben</t>
        </is>
      </c>
    </row>
    <row r="1036">
      <c r="A1036" s="6" t="inlineStr">
        <is>
          <t xml:space="preserve">   Karácsonyi dekorációs világítás / Sorolható család</t>
        </is>
      </c>
      <c r="B1036" s="6" t="inlineStr">
        <is>
          <t/>
        </is>
      </c>
      <c r="C1036" s="6" t="inlineStr">
        <is>
          <t/>
        </is>
      </c>
      <c r="D1036" s="6" t="inlineStr">
        <is>
          <t/>
        </is>
      </c>
      <c r="E1036" s="6" t="inlineStr">
        <is>
          <t/>
        </is>
      </c>
      <c r="F1036" s="6" t="inlineStr">
        <is>
          <t/>
        </is>
      </c>
      <c r="G1036" s="6" t="inlineStr">
        <is>
          <t/>
        </is>
      </c>
    </row>
    <row r="1037">
      <c r="A1037" s="3" t="inlineStr">
        <is>
          <t>KTT 5</t>
        </is>
      </c>
      <c r="B1037" s="2" t="inlineStr">
        <is>
          <t>Home KTT 5 toldó kábel, 5 méter, kül- és beltéri kivitel</t>
        </is>
      </c>
      <c r="C1037" s="1" t="n">
        <v>3390.0</v>
      </c>
      <c r="D1037" s="7" t="n">
        <f>HYPERLINK("https://www.somogyi.hu/product/home-ktt-5-toldo-kabel-5-meter-kul-es-belteri-kivitel-ktt-5-9022","https://www.somogyi.hu/product/home-ktt-5-toldo-kabel-5-meter-kul-es-belteri-kivitel-ktt-5-9022")</f>
        <v>0.0</v>
      </c>
      <c r="E1037" s="7" t="n">
        <f>HYPERLINK("https://www.somogyi.hu/data/img/product_main_images/small/09022.jpg","https://www.somogyi.hu/data/img/product_main_images/small/09022.jpg")</f>
        <v>0.0</v>
      </c>
      <c r="F1037" s="2" t="inlineStr">
        <is>
          <t>5998312779026</t>
        </is>
      </c>
      <c r="G1037" s="4" t="inlineStr">
        <is>
          <t xml:space="preserve"> • elhelyezhetőség: kültéri / beltéri 
 • vezeték színe: fekete 
 • hossz: 5 m 
 • kompatibilitás: KSF, KSI, KSH, KTF,KTI, KTH KTT termékekkel</t>
        </is>
      </c>
    </row>
    <row r="1038">
      <c r="A1038" s="3" t="inlineStr">
        <is>
          <t>KSI 100/WW</t>
        </is>
      </c>
      <c r="B1038" s="2" t="inlineStr">
        <is>
          <t>Home KSI 100/WW LED-es fényfüzér, 10 m / 100 db melegfehér LED, állófényű, fekete vezeték, kül- és beltéri kivitel</t>
        </is>
      </c>
      <c r="C1038" s="1" t="n">
        <v>12990.0</v>
      </c>
      <c r="D1038" s="7" t="n">
        <f>HYPERLINK("https://www.somogyi.hu/product/home-ksi-100-ww-led-es-fenyfuzer-10-m-100-db-melegfeher-led-allofenyu-fekete-vezetek-kul-es-belteri-kivitel-ksi-100-ww-16473","https://www.somogyi.hu/product/home-ksi-100-ww-led-es-fenyfuzer-10-m-100-db-melegfeher-led-allofenyu-fekete-vezetek-kul-es-belteri-kivitel-ksi-100-ww-16473")</f>
        <v>0.0</v>
      </c>
      <c r="E1038" s="7" t="n">
        <f>HYPERLINK("https://www.somogyi.hu/data/img/product_main_images/small/16473.jpg","https://www.somogyi.hu/data/img/product_main_images/small/16473.jpg")</f>
        <v>0.0</v>
      </c>
      <c r="F1038" s="2" t="inlineStr">
        <is>
          <t>5999084945053</t>
        </is>
      </c>
      <c r="G1038" s="4" t="inlineStr">
        <is>
          <t>Az ideális fényforrást keresi otthoni vagy dekorációs célra? A Home KSI 100/WW LED-es fényfüzér az Ön megoldása lehet!
Ez a lenyűgöző 10 méter hosszú fényfüzér 100 darab melegfehér LED-del rendelkezik, amelyek kellemes hangulatot teremtenek a környezetében. A fényfüzér állófényű, így nem kell aggódnia a villogó vagy pulzáló fényektől. A fekete vezeték diszkrét és elegáns megjelenést kölcsönöz a dekorációnak.
Ez a fényfüzér mind beltéren, mind kültéren használható. Dekorálja vele a nappaliját, teraszát, vagy akár a kertjét is.
Ne hagyja ki ezt a lehetőséget, hogy otthonát vagy kertjét varázslatossá tegye. Szerezze be most a Home KSI 100/WW LED-es fényfüzért, és teremtsen egyedülálló atmoszférát a saját kreativitásával!</t>
        </is>
      </c>
    </row>
    <row r="1039">
      <c r="A1039" s="3" t="inlineStr">
        <is>
          <t>KSF 204/WH</t>
        </is>
      </c>
      <c r="B1039" s="2" t="inlineStr">
        <is>
          <t>Home KSF 204/WH LED-es fényfüggöny, 2x2 m / 204 db hidegfehér LED, állófényű, fekete vezeték, sorolható, kül- és beltéri kivitel</t>
        </is>
      </c>
      <c r="C1039" s="1" t="n">
        <v>21990.0</v>
      </c>
      <c r="D1039" s="7" t="n">
        <f>HYPERLINK("https://www.somogyi.hu/product/home-ksf-204-wh-led-es-fenyfuggony-2x2-m-204-db-hidegfeher-led-allofenyu-fekete-vezetek-sorolhato-kul-es-belteri-kivitel-ksf-204-wh-16478","https://www.somogyi.hu/product/home-ksf-204-wh-led-es-fenyfuggony-2x2-m-204-db-hidegfeher-led-allofenyu-fekete-vezetek-sorolhato-kul-es-belteri-kivitel-ksf-204-wh-16478")</f>
        <v>0.0</v>
      </c>
      <c r="E1039" s="7" t="n">
        <f>HYPERLINK("https://www.somogyi.hu/data/img/product_main_images/small/16478.jpg","https://www.somogyi.hu/data/img/product_main_images/small/16478.jpg")</f>
        <v>0.0</v>
      </c>
      <c r="F1039" s="2" t="inlineStr">
        <is>
          <t>5999084945107</t>
        </is>
      </c>
      <c r="G1039" s="4" t="inlineStr">
        <is>
          <t>LED-es sorolható jégcsap fényfüggöny, amely a 204 db hidegfehér LED-del ragyogja be az éjszakát! Termékünk 2x2 méter nagyságával garantáltan az udvar leglátványosabb darabja lesz! Sorolható az általunk forgalmazott KSI, KSF, KSH termékekkel, ha valami igazán látványosra vágyik!</t>
        </is>
      </c>
    </row>
    <row r="1040">
      <c r="A1040" s="3" t="inlineStr">
        <is>
          <t>KSF 200/WH</t>
        </is>
      </c>
      <c r="B1040" s="2" t="inlineStr">
        <is>
          <t>Home KSF 200/WH LED-es fényfüggöny, 4 m / 200 db hidegfehér LED, állófényű, fekete vezeték, sorolható, kül- és beltéri kivitel</t>
        </is>
      </c>
      <c r="C1040" s="1" t="n">
        <v>27490.0</v>
      </c>
      <c r="D1040" s="7" t="n">
        <f>HYPERLINK("https://www.somogyi.hu/product/home-ksf-200-wh-led-es-fenyfuggony-4-m-200-db-hidegfeher-led-allofenyu-fekete-vezetek-sorolhato-kul-es-belteri-kivitel-ksf-200-wh-16466","https://www.somogyi.hu/product/home-ksf-200-wh-led-es-fenyfuggony-4-m-200-db-hidegfeher-led-allofenyu-fekete-vezetek-sorolhato-kul-es-belteri-kivitel-ksf-200-wh-16466")</f>
        <v>0.0</v>
      </c>
      <c r="E1040" s="7" t="n">
        <f>HYPERLINK("https://www.somogyi.hu/data/img/product_main_images/small/16466.jpg","https://www.somogyi.hu/data/img/product_main_images/small/16466.jpg")</f>
        <v>0.0</v>
      </c>
      <c r="F1040" s="2" t="inlineStr">
        <is>
          <t>5999084944988</t>
        </is>
      </c>
      <c r="G1040" s="4" t="inlineStr">
        <is>
          <t xml:space="preserve"> • elhelyezhetőség: kültéri / beltéri 
 • fényforrás: LED 
 • fényforrások száma: 200 db 
 • fényforrások színe: hidegfehér 
 • vezeték színe: fekete 
 • hossz: 4 m 
 • kompatibilitás: KSF, KSI, KSH, KTH KTT termékekkel 
 • tápellátás: 230 V~ 
 • egyéb: Egy hálózati csatlakozással maximum 1500 LED működtethető! 
 • A hálózati csatlakozáshoz KSH 5 vagy KSH 2 szükséges!</t>
        </is>
      </c>
    </row>
    <row r="1041">
      <c r="A1041" s="3" t="inlineStr">
        <is>
          <t>KSF 200/WW</t>
        </is>
      </c>
      <c r="B1041" s="2" t="inlineStr">
        <is>
          <t>Home KSF 200/WW LED-es fényfüggöny, 4 m / 200 db melegfehér LED, állófényű, fekete vezeték, sorolható, kül- és beltéri kivitel</t>
        </is>
      </c>
      <c r="C1041" s="1" t="n">
        <v>27490.0</v>
      </c>
      <c r="D1041" s="7" t="n">
        <f>HYPERLINK("https://www.somogyi.hu/product/home-ksf-200-ww-led-es-fenyfuggony-4-m-200-db-melegfeher-led-allofenyu-fekete-vezetek-sorolhato-kul-es-belteri-kivitel-ksf-200-ww-16467","https://www.somogyi.hu/product/home-ksf-200-ww-led-es-fenyfuggony-4-m-200-db-melegfeher-led-allofenyu-fekete-vezetek-sorolhato-kul-es-belteri-kivitel-ksf-200-ww-16467")</f>
        <v>0.0</v>
      </c>
      <c r="E1041" s="7" t="n">
        <f>HYPERLINK("https://www.somogyi.hu/data/img/product_main_images/small/16467.jpg","https://www.somogyi.hu/data/img/product_main_images/small/16467.jpg")</f>
        <v>0.0</v>
      </c>
      <c r="F1041" s="2" t="inlineStr">
        <is>
          <t>5999084944995</t>
        </is>
      </c>
      <c r="G1041" s="4" t="inlineStr">
        <is>
          <t xml:space="preserve"> • elhelyezhetőség: kültéri / beltéri 
 • fényforrás: LED 
 • fényforrások száma: 200 db 
 • fényforrások színe: melegfehér 
 • vezeték színe: fekete 
 • hossz: 4 m 
 • kompatibilitás: KSF, KSI, KSH, KTH KTT termékekkel 
 • tápellátás: 230 V~ 
 • egyéb: Egy hálózati csatlakozással maximum 1500 LED működtethető! 
 • A hálózati csatlakozáshoz KSH 5 vagy KSH 2 szükséges!</t>
        </is>
      </c>
    </row>
    <row r="1042">
      <c r="A1042" s="3" t="inlineStr">
        <is>
          <t>KSI 100/WH</t>
        </is>
      </c>
      <c r="B1042" s="2" t="inlineStr">
        <is>
          <t>Home KSI 100/WH LED-es fényfüzér, 10 m / 100 db hidegfehér LED, állófényű, fekete vezeték, kül- és beltéri kivitel</t>
        </is>
      </c>
      <c r="C1042" s="1" t="n">
        <v>12990.0</v>
      </c>
      <c r="D1042" s="7" t="n">
        <f>HYPERLINK("https://www.somogyi.hu/product/home-ksi-100-wh-led-es-fenyfuzer-10-m-100-db-hidegfeher-led-allofenyu-fekete-vezetek-kul-es-belteri-kivitel-ksi-100-wh-16471","https://www.somogyi.hu/product/home-ksi-100-wh-led-es-fenyfuzer-10-m-100-db-hidegfeher-led-allofenyu-fekete-vezetek-kul-es-belteri-kivitel-ksi-100-wh-16471")</f>
        <v>0.0</v>
      </c>
      <c r="E1042" s="7" t="n">
        <f>HYPERLINK("https://www.somogyi.hu/data/img/product_main_images/small/16471.jpg","https://www.somogyi.hu/data/img/product_main_images/small/16471.jpg")</f>
        <v>0.0</v>
      </c>
      <c r="F1042" s="2" t="inlineStr">
        <is>
          <t>5999084945039</t>
        </is>
      </c>
      <c r="G1042" s="4" t="inlineStr">
        <is>
          <t>A tökéletes fényfüzért keresi, amely meghitt hangulatot teremt otthonában? Az Home KSI 100/WH LED-es fényfüzér a megfelelő választás!
Ez a 10 méter hosszú fényfüzér 100 darab hidegfehér LED-del rendelkezik, amelyek karácsonyi dekoráció részeként is használhatók, de bármilyen alkalomra is ideálisak. A fényfüzért állófényű kialakítás jellemzi, fekete vezetékkel rendelkezik, amely szépen illeszkedik bármilyen környezetbe.
Az Home KSI 100/WH LED-es fényfüzér kül- és beltéri használatra is alkalmas, így bármilyen térben felhasználható. Hozza be az ünnepi hangulatot az otthonába. A hidegfehér LED-ek élénk és hűvös fényt árasztanak, amely tökéletesen kiemeli a dekorációdat.
Szerezze be most az Home KSI 100/WH LED-es fényfüzért, és élvezze a varázslatos fényjátékot a saját otthonában!</t>
        </is>
      </c>
    </row>
    <row r="1043">
      <c r="A1043" s="3" t="inlineStr">
        <is>
          <t>KSH 5</t>
        </is>
      </c>
      <c r="B1043" s="2" t="inlineStr">
        <is>
          <t>Home KSH 5 hálózati csatlakozó kábel, 5 m, kül- és beltéri kivitel, fekete</t>
        </is>
      </c>
      <c r="C1043" s="1" t="n">
        <v>4090.0</v>
      </c>
      <c r="D1043" s="7" t="n">
        <f>HYPERLINK("https://www.somogyi.hu/product/home-ksh-5-halozati-csatlakozo-kabel-5-m-kul-es-belteri-kivitel-fekete-ksh-5-16472","https://www.somogyi.hu/product/home-ksh-5-halozati-csatlakozo-kabel-5-m-kul-es-belteri-kivitel-fekete-ksh-5-16472")</f>
        <v>0.0</v>
      </c>
      <c r="E1043" s="7" t="n">
        <f>HYPERLINK("https://www.somogyi.hu/data/img/product_main_images/small/16472.jpg","https://www.somogyi.hu/data/img/product_main_images/small/16472.jpg")</f>
        <v>0.0</v>
      </c>
      <c r="F1043" s="2" t="inlineStr">
        <is>
          <t>5999084945046</t>
        </is>
      </c>
      <c r="G1043" s="4" t="inlineStr">
        <is>
          <t xml:space="preserve"> • elhelyezhetőség: kültéri / beltéri 
 • vezeték színe: fekete 
 • hossz: 5 m 
 • kompatibilitás: KSF, KSI, KSH, KTF,KTI, KTH, KTT termékekkel 
 • egyéb: Egy hálózati kábellel max.1500 db LED üzemeltethető!</t>
        </is>
      </c>
    </row>
    <row r="1044">
      <c r="A1044" s="3" t="inlineStr">
        <is>
          <t>KSF 50F/WW</t>
        </is>
      </c>
      <c r="B1044" s="2" t="inlineStr">
        <is>
          <t>Home KSF 50F/WW LED-es fényfüggöny, 3 m / 38 db melegfehér és 12 db hidegfehér villogó LED, fekete vezeték, sorolható, kül- és beltéri kivitel</t>
        </is>
      </c>
      <c r="C1044" s="1" t="n">
        <v>10990.0</v>
      </c>
      <c r="D1044" s="7" t="n">
        <f>HYPERLINK("https://www.somogyi.hu/product/home-ksf-50f-ww-led-es-fenyfuggony-3-m-38-db-melegfeher-es-12-db-hidegfeher-villogo-led-fekete-vezetek-sorolhato-kul-es-belteri-kivitel-ksf-50f-ww-16476","https://www.somogyi.hu/product/home-ksf-50f-ww-led-es-fenyfuggony-3-m-38-db-melegfeher-es-12-db-hidegfeher-villogo-led-fekete-vezetek-sorolhato-kul-es-belteri-kivitel-ksf-50f-ww-16476")</f>
        <v>0.0</v>
      </c>
      <c r="E1044" s="7" t="n">
        <f>HYPERLINK("https://www.somogyi.hu/data/img/product_main_images/small/16476.jpg","https://www.somogyi.hu/data/img/product_main_images/small/16476.jpg")</f>
        <v>0.0</v>
      </c>
      <c r="F1044" s="2" t="inlineStr">
        <is>
          <t>5999084945084</t>
        </is>
      </c>
      <c r="G1044" s="4" t="inlineStr">
        <is>
          <t>Kültérre és beltérre egyaránt ajánljuk LED-es sorolható, villogó jégcsap fényfüzérünket. A terméken 50 db melegfehér LED található, amelyből 12 db villog. Ha nagyban gondolkozik, termékünk sorolható KSI, KSF, KSH termékeinkkel. Engedjen utat fantáziájának és díszítse az udvart, a lakást kedvére!</t>
        </is>
      </c>
    </row>
    <row r="1045">
      <c r="A1045" s="3" t="inlineStr">
        <is>
          <t>KSF 50F/WH</t>
        </is>
      </c>
      <c r="B1045" s="2" t="inlineStr">
        <is>
          <t>Home KSF 50F/WH LED-es fényfüggöny, 3 m / 38 db hidegfehér és 12 db hidegfehér villogó LED, fekete vezeték, sorolható, kül- és beltéri kivitel</t>
        </is>
      </c>
      <c r="C1045" s="1" t="n">
        <v>10990.0</v>
      </c>
      <c r="D1045" s="7" t="n">
        <f>HYPERLINK("https://www.somogyi.hu/product/home-ksf-50f-wh-led-es-fenyfuggony-3-m-38-db-hidegfeher-es-12-db-hidegfeher-villogo-led-fekete-vezetek-sorolhato-kul-es-belteri-kivitel-ksf-50f-wh-16477","https://www.somogyi.hu/product/home-ksf-50f-wh-led-es-fenyfuggony-3-m-38-db-hidegfeher-es-12-db-hidegfeher-villogo-led-fekete-vezetek-sorolhato-kul-es-belteri-kivitel-ksf-50f-wh-16477")</f>
        <v>0.0</v>
      </c>
      <c r="E1045" s="7" t="n">
        <f>HYPERLINK("https://www.somogyi.hu/data/img/product_main_images/small/16477.jpg","https://www.somogyi.hu/data/img/product_main_images/small/16477.jpg")</f>
        <v>0.0</v>
      </c>
      <c r="F1045" s="2" t="inlineStr">
        <is>
          <t>5999084945091</t>
        </is>
      </c>
      <c r="G1045" s="4" t="inlineStr">
        <is>
          <t>Kültérre és beltérre egyaránt ajánljuk LED-es sorolható, villogó jégcsap fényfüzérünket. A terméken 38 db hidegfehér LED található, amelyek között 12 db hidegfehér villog. Ha nagyban gondolkozik, termékünk sorolható KSI, KSF, KSH termékeinkkel. Engedjen utat fantáziájának és díszítse az udvart, a lakást kedvére!</t>
        </is>
      </c>
    </row>
    <row r="1046">
      <c r="A1046" s="3" t="inlineStr">
        <is>
          <t>KSI 200/WH</t>
        </is>
      </c>
      <c r="B1046" s="2" t="inlineStr">
        <is>
          <t>Home KSI 200/WH LED-es fényfüzér, 20 m / 200 db hidegfehér LED, állófényű, fekete vezeték, kül- és beltéri kivitel</t>
        </is>
      </c>
      <c r="C1046" s="1" t="n">
        <v>22290.0</v>
      </c>
      <c r="D1046" s="7" t="n">
        <f>HYPERLINK("https://www.somogyi.hu/product/home-ksi-200-wh-led-es-fenyfuzer-20-m-200-db-hidegfeher-led-allofenyu-fekete-vezetek-kul-es-belteri-kivitel-ksi-200-wh-16474","https://www.somogyi.hu/product/home-ksi-200-wh-led-es-fenyfuzer-20-m-200-db-hidegfeher-led-allofenyu-fekete-vezetek-kul-es-belteri-kivitel-ksi-200-wh-16474")</f>
        <v>0.0</v>
      </c>
      <c r="E1046" s="7" t="n">
        <f>HYPERLINK("https://www.somogyi.hu/data/img/product_main_images/small/16474.jpg","https://www.somogyi.hu/data/img/product_main_images/small/16474.jpg")</f>
        <v>0.0</v>
      </c>
      <c r="F1046" s="2" t="inlineStr">
        <is>
          <t>5999084945060</t>
        </is>
      </c>
      <c r="G1046" s="4" t="inlineStr">
        <is>
          <t xml:space="preserve"> • elhelyezhetőség: kültéri / beltéri 
 • fényforrás: LED 
 • fényforrások száma: 200 db 
 • fényforrások színe: hidegfehér 
 • hossz: 20 m 
 • kompatibilitás: sorolható a Somogyi Elektronic által forgalomba hozott KSI, KSF, KSH termékekkel 
 • tápellátás: 230 V~ 
 • egyéb: a termék nem tartalmazza a hálózati csatlakoztatáshoz szükséges kábelt ! / külön megvásárolható tartozékok: KTT, KTT 5, KSH 5, KSH 2</t>
        </is>
      </c>
    </row>
    <row r="1047">
      <c r="A1047" s="3" t="inlineStr">
        <is>
          <t>KTT</t>
        </is>
      </c>
      <c r="B1047" s="2" t="inlineStr">
        <is>
          <t>Home KTT T-elosztó, kül- és beltéri kivitel</t>
        </is>
      </c>
      <c r="C1047" s="1" t="n">
        <v>1690.0</v>
      </c>
      <c r="D1047" s="7" t="n">
        <f>HYPERLINK("https://www.somogyi.hu/product/home-ktt-t-eloszto-kul-es-belteri-kivitel-ktt-9021","https://www.somogyi.hu/product/home-ktt-t-eloszto-kul-es-belteri-kivitel-ktt-9021")</f>
        <v>0.0</v>
      </c>
      <c r="E1047" s="7" t="n">
        <f>HYPERLINK("https://www.somogyi.hu/data/img/product_main_images/small/09021.jpg","https://www.somogyi.hu/data/img/product_main_images/small/09021.jpg")</f>
        <v>0.0</v>
      </c>
      <c r="F1047" s="2" t="inlineStr">
        <is>
          <t>5998312779019</t>
        </is>
      </c>
      <c r="G1047" s="4" t="inlineStr">
        <is>
          <t xml:space="preserve"> • elhelyezhetőség: kültéri / beltéri 
 • vezeték színe: fekete 
 • kompatibilitás: KSF, KSI, KSH, KTF,KTI, KTH KTT termékekkel</t>
        </is>
      </c>
    </row>
    <row r="1048">
      <c r="A1048" s="3" t="inlineStr">
        <is>
          <t>KSF 204/WW</t>
        </is>
      </c>
      <c r="B1048" s="2" t="inlineStr">
        <is>
          <t>Home KSF 204/WW LED-es fényfüggöny, 2x2 m / 204 db melegfehér LED, állófényű, fekete vezeték, sorolható, kül- és beltéri kivitel</t>
        </is>
      </c>
      <c r="C1048" s="1" t="n">
        <v>22090.0</v>
      </c>
      <c r="D1048" s="7" t="n">
        <f>HYPERLINK("https://www.somogyi.hu/product/home-ksf-204-ww-led-es-fenyfuggony-2x2-m-204-db-melegfeher-led-allofenyu-fekete-vezetek-sorolhato-kul-es-belteri-kivitel-ksf-204-ww-16479","https://www.somogyi.hu/product/home-ksf-204-ww-led-es-fenyfuggony-2x2-m-204-db-melegfeher-led-allofenyu-fekete-vezetek-sorolhato-kul-es-belteri-kivitel-ksf-204-ww-16479")</f>
        <v>0.0</v>
      </c>
      <c r="E1048" s="7" t="n">
        <f>HYPERLINK("https://www.somogyi.hu/data/img/product_main_images/small/16479.jpg","https://www.somogyi.hu/data/img/product_main_images/small/16479.jpg")</f>
        <v>0.0</v>
      </c>
      <c r="F1048" s="2" t="inlineStr">
        <is>
          <t>5999084945114</t>
        </is>
      </c>
      <c r="G1048" s="4" t="inlineStr">
        <is>
          <t>LED-es sorolható jégcsap fényfüggöny, amely a 204 db melegfehér LED-del ragyogja be az éjszakát! Termékünk 2x2 méter nagyságával garantáltan az udvar leglátványosabb darabja lesz! Sorolható az általunk forgalmazott KSI, KSF, KSH termékekkel, ha valami igazán látványosra vágyik!</t>
        </is>
      </c>
    </row>
    <row r="1049">
      <c r="A1049" s="3" t="inlineStr">
        <is>
          <t>KSF 100/WH</t>
        </is>
      </c>
      <c r="B1049" s="2" t="inlineStr">
        <is>
          <t>LED-es sorolható jégcsap fényfüggöny</t>
        </is>
      </c>
      <c r="C1049" s="1" t="n">
        <v>10690.0</v>
      </c>
      <c r="D1049" s="7" t="n">
        <f>HYPERLINK("https://www.somogyi.hu/product/led-es-sorolhato-jegcsap-fenyfuggony-ksf-100-wh-16442","https://www.somogyi.hu/product/led-es-sorolhato-jegcsap-fenyfuggony-ksf-100-wh-16442")</f>
        <v>0.0</v>
      </c>
      <c r="E1049" s="7" t="n">
        <f>HYPERLINK("https://www.somogyi.hu/data/img/product_main_images/small/16442.jpg","https://www.somogyi.hu/data/img/product_main_images/small/16442.jpg")</f>
        <v>0.0</v>
      </c>
      <c r="F1049" s="2" t="inlineStr">
        <is>
          <t>5999084944742</t>
        </is>
      </c>
      <c r="G1049" s="4" t="inlineStr">
        <is>
          <t xml:space="preserve"> • elhelyezhetőség: kültéri / beltéri 
 • fényforrás: LED 
 • fényforrások száma: 100 db 
 • fényforrások színe: hidegfehér 
 • vezeték színe: fekete 
 • hossz: 2 m 
 • kompatibilitás: KSF, KSI, KSH, KTH KTT termékekkel 
 • tápellátás: 230 V~ 
 • egyéb: Egy hálózati csatlakozással maximum 1500 LED működtethető! 
 • A hálózati csatlakozáshoz KSH 5 vagy KSH 2 szükséges!</t>
        </is>
      </c>
    </row>
    <row r="1050">
      <c r="A1050" s="6" t="inlineStr">
        <is>
          <t xml:space="preserve">   Karácsonyi dekorációs világítás / Dekornövény</t>
        </is>
      </c>
      <c r="B1050" s="6" t="inlineStr">
        <is>
          <t/>
        </is>
      </c>
      <c r="C1050" s="6" t="inlineStr">
        <is>
          <t/>
        </is>
      </c>
      <c r="D1050" s="6" t="inlineStr">
        <is>
          <t/>
        </is>
      </c>
      <c r="E1050" s="6" t="inlineStr">
        <is>
          <t/>
        </is>
      </c>
      <c r="F1050" s="6" t="inlineStr">
        <is>
          <t/>
        </is>
      </c>
      <c r="G1050" s="6" t="inlineStr">
        <is>
          <t/>
        </is>
      </c>
    </row>
    <row r="1051">
      <c r="A1051" s="3" t="inlineStr">
        <is>
          <t>KMF 4/180</t>
        </is>
      </c>
      <c r="B1051" s="2" t="inlineStr">
        <is>
          <t>Home KMF 4/180 műfenyő, 180 cm magasság, 122 cm átmérő</t>
        </is>
      </c>
      <c r="C1051" s="1" t="n">
        <v>112990.0</v>
      </c>
      <c r="D1051" s="7" t="n">
        <f>HYPERLINK("https://www.somogyi.hu/product/home-kmf-4-180-mufenyo-180-cm-magassag-122-cm-atmero-kmf-4-180-16081","https://www.somogyi.hu/product/home-kmf-4-180-mufenyo-180-cm-magassag-122-cm-atmero-kmf-4-180-16081")</f>
        <v>0.0</v>
      </c>
      <c r="E1051" s="7" t="n">
        <f>HYPERLINK("https://www.somogyi.hu/data/img/product_main_images/small/16081.jpg","https://www.somogyi.hu/data/img/product_main_images/small/16081.jpg")</f>
        <v>0.0</v>
      </c>
      <c r="F1051" s="2" t="inlineStr">
        <is>
          <t>5999084941130</t>
        </is>
      </c>
      <c r="G1051" s="4" t="inlineStr">
        <is>
          <t>Hozza be az ünnepi hangulatot otthonába a KMF 4/180 műfenyővel! 
Ez a gyönyörűen kidolgozott fenyőfa a 3D+2D tűlevelek kombinációjával és impozáns 2168 csúcsával káprázatos látványt nyújt. 
A masszív fém talp biztosítja a stabilitást, 180 cm-es magasságával ideális választás beltéri dekorációhoz. 
Legnagyobb átmérője 122 cm, így magasságával összevetve kis helyeken is könnyedén elfér. 
Tegye felejthetetlenné az ünnepeket a KMF 4/180 műfenyővel, és teremtsen varázslatos atmoszférát otthonában!</t>
        </is>
      </c>
    </row>
    <row r="1052">
      <c r="A1052" s="3" t="inlineStr">
        <is>
          <t>KMF 6/240</t>
        </is>
      </c>
      <c r="B1052" s="2" t="inlineStr">
        <is>
          <t>Home KMF 6/240 műfenyő beépített világítással, 650 db LED, 240 cm magasság, 134 cm átmérő, talpkapcsoló, 4 funkció</t>
        </is>
      </c>
      <c r="C1052" s="1" t="n">
        <v>184990.0</v>
      </c>
      <c r="D1052" s="7" t="n">
        <f>HYPERLINK("https://www.somogyi.hu/product/home-kmf-6-240-mufenyo-beepitett-vilagitassal-650-db-led-240-cm-magassag-134-cm-atmero-talpkapcsolo-4-funkcio-kmf-6-240-16526","https://www.somogyi.hu/product/home-kmf-6-240-mufenyo-beepitett-vilagitassal-650-db-led-240-cm-magassag-134-cm-atmero-talpkapcsolo-4-funkcio-kmf-6-240-16526")</f>
        <v>0.0</v>
      </c>
      <c r="E1052" s="7" t="n">
        <f>HYPERLINK("https://www.somogyi.hu/data/img/product_main_images/small/16526.jpg","https://www.somogyi.hu/data/img/product_main_images/small/16526.jpg")</f>
        <v>0.0</v>
      </c>
      <c r="F1052" s="2" t="inlineStr">
        <is>
          <t>5999084945589</t>
        </is>
      </c>
      <c r="G1052" s="4" t="inlineStr">
        <is>
          <t>Tegye különlegessé az ünnepi varázslatot a KMF 6/240 műfenyővel, mely a legmodernebb LED technológiával és lenyűgöző dizájnnal rendelkezik. 
Ez a kivételes fenyőfa nem csak díszít, hanem beépített LED világításával meghitt hangulatot is varázsol otthonába. 
A világításért 650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1712 csúcs gondoskodnak arról, hogy a fenyőfa csodálatosan díszített legyen. 
A fém talp és a zsanérral csatlakozó ágak stabil és biztonságos szerkezetet alkotnak. 
A fenyő 240 cm magas, legnagyobb átmérője pedig 134 cm. 
Ne habozzon, tegye felejthetetlenné az ünnepeket a KMF 6/240 műfenyővel, és hozza be az ünnepi fények varázsát otthonába!</t>
        </is>
      </c>
    </row>
    <row r="1053">
      <c r="A1053" s="3" t="inlineStr">
        <is>
          <t>KMF 4/150</t>
        </is>
      </c>
      <c r="B1053" s="2" t="inlineStr">
        <is>
          <t>Home KMF 4/150 műfenyő, 150 cm magasság, 106 cm átmérő</t>
        </is>
      </c>
      <c r="C1053" s="1" t="n">
        <v>76390.0</v>
      </c>
      <c r="D1053" s="7" t="n">
        <f>HYPERLINK("https://www.somogyi.hu/product/home-kmf-4-150-mufenyo-150-cm-magassag-106-cm-atmero-kmf-4-150-16080","https://www.somogyi.hu/product/home-kmf-4-150-mufenyo-150-cm-magassag-106-cm-atmero-kmf-4-150-16080")</f>
        <v>0.0</v>
      </c>
      <c r="E1053" s="7" t="n">
        <f>HYPERLINK("https://www.somogyi.hu/data/img/product_main_images/small/16080.jpg","https://www.somogyi.hu/data/img/product_main_images/small/16080.jpg")</f>
        <v>0.0</v>
      </c>
      <c r="F1053" s="2" t="inlineStr">
        <is>
          <t>5999084941123</t>
        </is>
      </c>
      <c r="G1053" s="4" t="inlineStr">
        <is>
          <t>Hozza be az ünnepi hangulatot otthonába a KMF 4/150 műfenyővel! 
Ez a gyönyörűen kidolgozott fenyőfa a 3D+2D tűlevelek kombinációjával és impozáns 1584 csúcsával káprázatos látványt nyújt. 
A masszív fém talp biztosítja a stabilitást, 150 cm-es magasságával ideális választás beltéri dekorációhoz. 
Legnagyobb átmérője 106 cm, így magasságával összevetve kis helyeken is könnyedén elfér. 
Tegye felejthetetlenné az ünnepeket a KMF 4/150 műfenyővel, és teremtsen varázslatos atmoszférát otthonában!</t>
        </is>
      </c>
    </row>
    <row r="1054">
      <c r="A1054" s="3" t="inlineStr">
        <is>
          <t>CBT 200</t>
        </is>
      </c>
      <c r="B1054" s="2" t="inlineStr">
        <is>
          <t>Home CBT 200 virágzó cseresznyefa, 200 db LED, IP44, lecsavarozható fém talp, kültéri, beltéri</t>
        </is>
      </c>
      <c r="C1054" s="1" t="n">
        <v>31290.0</v>
      </c>
      <c r="D1054" s="7" t="n">
        <f>HYPERLINK("https://www.somogyi.hu/product/home-cbt-200-viragzo-cseresznyefa-200-db-led-ip44-lecsavarozhato-fem-talp-kulteri-belteri-cbt-200-13964","https://www.somogyi.hu/product/home-cbt-200-viragzo-cseresznyefa-200-db-led-ip44-lecsavarozhato-fem-talp-kulteri-belteri-cbt-200-13964")</f>
        <v>0.0</v>
      </c>
      <c r="E1054" s="7" t="n">
        <f>HYPERLINK("https://www.somogyi.hu/data/img/product_main_images/small/13964.jpg","https://www.somogyi.hu/data/img/product_main_images/small/13964.jpg")</f>
        <v>0.0</v>
      </c>
      <c r="F1054" s="2" t="inlineStr">
        <is>
          <t>5999084920166</t>
        </is>
      </c>
      <c r="G1054" s="4" t="inlineStr">
        <is>
          <t>Hozza be a virágok varázsát otthonába a CBT 200 nevű LED-es virágzó cseresznyefával! 
Ez a lenyűgöző dekoráció ideális választás mind beltéri, mind kültéri használatra, így bármilyen teret feldobhat ezzel a különleges elemmel. 
A LED-es virágzó cseresznyefa 200 darab melegfehér LED-del van felszerelve, amelyek gyönyörű fényekkel életre keltik a cseresznyevirágot formázó dekorációt. 
A fa lecsavarozható fémtalppal rendelkezik, ami stabil alapot biztosít és lehetővé teszi a könnyű szállítást, elhelyezést. A termék tápellátását egy kültéri IP44-es hálózati adapter szolgáltatja, amely biztonságos működést nyújt kültéren is. 
A CBT 200 LED-es virágzó cseresznyefa biztosan lenyűgöző és egyedi díszítőelem lesz otthonában!</t>
        </is>
      </c>
    </row>
    <row r="1055">
      <c r="A1055" s="3" t="inlineStr">
        <is>
          <t>SCF 5</t>
        </is>
      </c>
      <c r="B1055" s="2" t="inlineStr">
        <is>
          <t>Home SCF 5 mikulásvirág, 5 db LED, beltéri</t>
        </is>
      </c>
      <c r="C1055" s="1" t="n">
        <v>8290.0</v>
      </c>
      <c r="D1055" s="7" t="n">
        <f>HYPERLINK("https://www.somogyi.hu/product/home-scf-5-mikulasvirag-5-db-led-belteri-scf-5-14716","https://www.somogyi.hu/product/home-scf-5-mikulasvirag-5-db-led-belteri-scf-5-14716")</f>
        <v>0.0</v>
      </c>
      <c r="E1055" s="7" t="n">
        <f>HYPERLINK("https://www.somogyi.hu/data/img/product_main_images/small/14716.jpg","https://www.somogyi.hu/data/img/product_main_images/small/14716.jpg")</f>
        <v>0.0</v>
      </c>
      <c r="F1055" s="2" t="inlineStr">
        <is>
          <t>5999084927585</t>
        </is>
      </c>
      <c r="G1055" s="4" t="inlineStr">
        <is>
          <t>Hozza be az ünnepi hangulatot otthonába az SCF 5 nevű LED-es mikulásvirággal! 
Ez a bájos dekoráció tökéletes választás az ünnepi szezonban, hogy még különlegesebbé tegye a helyiséget. 
A LED-es mikulásvirág valósághű virágként pompázik, és 5 melegfehér LED-del van felszerelve. 
Egyszerűen elhelyezhető bármelyik asztalon, polcon vagy ablakpárkányon. 
A termék tápellátását 3 darab 1,5 V (AA) elem biztosítja (nem tartozék), így könnyen működésbe hozhatja a dekorációt. 
Varázsoljon hangulatos fényeket az otthonába a SCF 5 LED-es mikulásvirággal, és élvezze az ünnepi időszak varázsát minden nap!</t>
        </is>
      </c>
    </row>
    <row r="1056">
      <c r="A1056" s="3" t="inlineStr">
        <is>
          <t>KMF 60 LED</t>
        </is>
      </c>
      <c r="B1056" s="2" t="inlineStr">
        <is>
          <t>Műfenyő LED világítással</t>
        </is>
      </c>
      <c r="C1056" s="1" t="n">
        <v>8990.0</v>
      </c>
      <c r="D1056" s="7" t="n">
        <f>HYPERLINK("https://www.somogyi.hu/product/mufenyo-led-vilagitassal-kmf-60-led-16079","https://www.somogyi.hu/product/mufenyo-led-vilagitassal-kmf-60-led-16079")</f>
        <v>0.0</v>
      </c>
      <c r="E1056" s="7" t="n">
        <f>HYPERLINK("https://www.somogyi.hu/data/img/product_main_images/small/16079.jpg","https://www.somogyi.hu/data/img/product_main_images/small/16079.jpg")</f>
        <v>0.0</v>
      </c>
      <c r="F1056" s="2" t="inlineStr">
        <is>
          <t>5999084941116</t>
        </is>
      </c>
      <c r="G1056" s="4" t="inlineStr">
        <is>
          <t xml:space="preserve"> • elhelyezhetőség: beltéri 
 • fényforrás: LED 
 • fényforrások száma: 30 db 
 • fényforrások színe: melegfehér 
 • funkciók: üzemmódok: ON / időzítő 
 • (6 h ON   18 h OFF) / OFF 
 • magasság: 60 cm 
 • tápellátás: 3 x 1,5 (AA) elem, nem tartozék 
 • egyéb: 3D 2D tűlevelek, 211 csúcs 
 • műanyag kaspó</t>
        </is>
      </c>
    </row>
    <row r="1057">
      <c r="A1057" s="3" t="inlineStr">
        <is>
          <t>KMF 6/210</t>
        </is>
      </c>
      <c r="B1057" s="2" t="inlineStr">
        <is>
          <t>Home KMF 6/210 műfenyő beépített világítással, 500 db LED, 210 cm magasság, 119 cm átmérő, talpkapcsoló, 4 funkció</t>
        </is>
      </c>
      <c r="C1057" s="1" t="n">
        <v>136990.0</v>
      </c>
      <c r="D1057" s="7" t="n">
        <f>HYPERLINK("https://www.somogyi.hu/product/home-kmf-6-210-mufenyo-beepitett-vilagitassal-500-db-led-210-cm-magassag-119-cm-atmero-talpkapcsolo-4-funkcio-kmf-6-210-16525","https://www.somogyi.hu/product/home-kmf-6-210-mufenyo-beepitett-vilagitassal-500-db-led-210-cm-magassag-119-cm-atmero-talpkapcsolo-4-funkcio-kmf-6-210-16525")</f>
        <v>0.0</v>
      </c>
      <c r="E1057" s="7" t="n">
        <f>HYPERLINK("https://www.somogyi.hu/data/img/product_main_images/small/16525.jpg","https://www.somogyi.hu/data/img/product_main_images/small/16525.jpg")</f>
        <v>0.0</v>
      </c>
      <c r="F1057" s="2" t="inlineStr">
        <is>
          <t>5999084945572</t>
        </is>
      </c>
      <c r="G1057" s="4" t="inlineStr">
        <is>
          <t>Tegye különlegessé az ünnepi varázslatot a KMF 6/210 műfenyővel, mely a legmodernebb LED technológiával és lenyűgöző dizájnnal rendelkezik. 
Ez a kivételes fenyőfa nem csak díszít, hanem beépített LED világításával meghitt hangulatot is varázsol otthonába. 
A világításért 500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1182 csúcs gondoskodnak arról, hogy a fenyőfa csodálatosan díszített legyen. 
A fém talp és a zsanérral csatlakozó ágak stabil és biztonságos szerkezetet alkotnak. 
A fenyő 210 cm magas, legnagyobb átmérője pedig 119 cm. 
Ne habozzon, tegye felejthetetlenné az ünnepeket a KMF 6/210 műfenyővel, és hozza be az ünnepi fények varázsát otthonába!</t>
        </is>
      </c>
    </row>
    <row r="1058">
      <c r="A1058" s="3" t="inlineStr">
        <is>
          <t>KMF 4/240</t>
        </is>
      </c>
      <c r="B1058" s="2" t="inlineStr">
        <is>
          <t>Home KMF 4/240 műfenyő, 240 cm magasság, 152 cm átmérő</t>
        </is>
      </c>
      <c r="C1058" s="1" t="n">
        <v>219990.0</v>
      </c>
      <c r="D1058" s="7" t="n">
        <f>HYPERLINK("https://www.somogyi.hu/product/home-kmf-4-240-mufenyo-240-cm-magassag-152-cm-atmero-kmf-4-240-16083","https://www.somogyi.hu/product/home-kmf-4-240-mufenyo-240-cm-magassag-152-cm-atmero-kmf-4-240-16083")</f>
        <v>0.0</v>
      </c>
      <c r="E1058" s="7" t="n">
        <f>HYPERLINK("https://www.somogyi.hu/data/img/product_main_images/small/16083.jpg","https://www.somogyi.hu/data/img/product_main_images/small/16083.jpg")</f>
        <v>0.0</v>
      </c>
      <c r="F1058" s="2" t="inlineStr">
        <is>
          <t>5999084941154</t>
        </is>
      </c>
      <c r="G1058" s="4" t="inlineStr">
        <is>
          <t>Hozza be az ünnepi hangulatot otthonába a KMF 4/240 műfenyővel! 
Ez a gyönyörűen kidolgozott fenyőfa a 3D+2D tűlevelek kombinációjával és impozáns 4498 csúcsával káprázatos látványt nyújt. 
A masszív fém talp biztosítja a stabilitást, 240 cm-es magasságával ideális választás nagyobb belmagasságú terek dekorálásához. Legnagyobb átmérője 152 cm. 
Tegye felejthetetlenné az ünnepeket a KMF 4/240 műfenyővel, és teremtsen varázslatos atmoszférát otthonában!</t>
        </is>
      </c>
    </row>
    <row r="1059">
      <c r="A1059" s="3" t="inlineStr">
        <is>
          <t>KMF 80</t>
        </is>
      </c>
      <c r="B1059" s="2" t="inlineStr">
        <is>
          <t>Home KMF 80 havas fenyő asztali dísz, 80 db microLED, beltéri</t>
        </is>
      </c>
      <c r="C1059" s="1" t="n">
        <v>5190.0</v>
      </c>
      <c r="D1059" s="7" t="n">
        <f>HYPERLINK("https://www.somogyi.hu/product/home-kmf-80-havas-fenyo-asztali-disz-80-db-microled-belteri-kmf-80-16979","https://www.somogyi.hu/product/home-kmf-80-havas-fenyo-asztali-disz-80-db-microled-belteri-kmf-80-16979")</f>
        <v>0.0</v>
      </c>
      <c r="E1059" s="7" t="n">
        <f>HYPERLINK("https://www.somogyi.hu/data/img/product_main_images/small/16979.jpg","https://www.somogyi.hu/data/img/product_main_images/small/16979.jpg")</f>
        <v>0.0</v>
      </c>
      <c r="F1059" s="2" t="inlineStr">
        <is>
          <t>5999084950118</t>
        </is>
      </c>
      <c r="G1059" s="4" t="inlineStr">
        <is>
          <t>Hozza be az ünnepi fényeket otthonába a KMF 80 nevű LED-es asztali dísszel, mely havas fenyőként külsejével és melegfehér micro-LED-ekkel varázsol karácsonyi hangulatot! 
Ezzel az elegáns beltéri dekorációval könnyedén teremthet varázslatos atmoszférát. 
Az asztali dísz 80 darab melegfehér micro-LED-del van felszerelve, melyekkel az ágak ízlés szerint hajtogathatók, hogy tökéletesen illeszkedjenek az Ön által kívánt stílus szerint. 
A dísz tápellátását 3 darab 1,5 V (AA) elem (nem tartozék) biztosítja, így egyszerűen elhelyezheti bárhol otthonában. 
Tegye ünnepivé otthonát a havas fenyő LED-es asztali dísszel, és élvezze az ünnepi hangulatot és a fények varázsát!</t>
        </is>
      </c>
    </row>
    <row r="1060">
      <c r="A1060" s="3" t="inlineStr">
        <is>
          <t>KMF 6/180</t>
        </is>
      </c>
      <c r="B1060" s="2" t="inlineStr">
        <is>
          <t>Home KMF 6/180 műfenyő beépített világítással, 350 db LED, 180 cm magasság, 106 cm átmérő, talpkapcsoló, 4 funkció</t>
        </is>
      </c>
      <c r="C1060" s="1" t="n">
        <v>97590.0</v>
      </c>
      <c r="D1060" s="7" t="n">
        <f>HYPERLINK("https://www.somogyi.hu/product/home-kmf-6-180-mufenyo-beepitett-vilagitassal-350-db-led-180-cm-magassag-106-cm-atmero-talpkapcsolo-4-funkcio-kmf-6-180-16524","https://www.somogyi.hu/product/home-kmf-6-180-mufenyo-beepitett-vilagitassal-350-db-led-180-cm-magassag-106-cm-atmero-talpkapcsolo-4-funkcio-kmf-6-180-16524")</f>
        <v>0.0</v>
      </c>
      <c r="E1060" s="7" t="n">
        <f>HYPERLINK("https://www.somogyi.hu/data/img/product_main_images/small/16524.jpg","https://www.somogyi.hu/data/img/product_main_images/small/16524.jpg")</f>
        <v>0.0</v>
      </c>
      <c r="F1060" s="2" t="inlineStr">
        <is>
          <t>5999084945565</t>
        </is>
      </c>
      <c r="G1060" s="4" t="inlineStr">
        <is>
          <t>Tegye különlegessé az ünnepi varázslatot a KMF 6/180 műfenyővel, mely a legmodernebb LED technológiával és lenyűgöző dizájnnal rendelkezik. 
Ez a kivételes fenyőfa nem csak díszít, hanem beépített LED világításával meghitt hangulatot is varázsol otthonába.
A világításért 350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846 csúcs gondoskodnak arról, hogy a fenyőfa csodálatosan díszített legyen. 
A fém talp és a zsanérral csatlakozó ágak stabil és biztonságos szerkezetet alkotnak. 
A fenyő 180 cm magas, legnagyobb átmérője pedig 106 cm. 
Ne habozzon, tegye felejthetetlenné az ünnepeket a KMF 6/180 műfenyővel, és hozza be az ünnepi fények varázsát otthonába!</t>
        </is>
      </c>
    </row>
    <row r="1061">
      <c r="A1061" s="3" t="inlineStr">
        <is>
          <t>CBT 320</t>
        </is>
      </c>
      <c r="B1061" s="2" t="inlineStr">
        <is>
          <t>Home CBT 320 virágzó cseresznyefa, 320 db LED, IP44, fém talp, kültéri, beltéri</t>
        </is>
      </c>
      <c r="C1061" s="1" t="n">
        <v>40990.0</v>
      </c>
      <c r="D1061" s="7" t="n">
        <f>HYPERLINK("https://www.somogyi.hu/product/home-cbt-320-viragzo-cseresznyefa-320-db-led-ip44-fem-talp-kulteri-belteri-cbt-320-11965","https://www.somogyi.hu/product/home-cbt-320-viragzo-cseresznyefa-320-db-led-ip44-fem-talp-kulteri-belteri-cbt-320-11965")</f>
        <v>0.0</v>
      </c>
      <c r="E1061" s="7" t="n">
        <f>HYPERLINK("https://www.somogyi.hu/data/img/product_main_images/small/11965.jpg","https://www.somogyi.hu/data/img/product_main_images/small/11965.jpg")</f>
        <v>0.0</v>
      </c>
      <c r="F1061" s="2" t="inlineStr">
        <is>
          <t>5999084901776</t>
        </is>
      </c>
      <c r="G1061" s="4" t="inlineStr">
        <is>
          <t>Hozza be a virágok varázsát otthonába a CBT 320 nevű LED-es virágzó cseresznyefával! 
Ez a lenyűgöző dekoráció ideális választás mind beltéri, mind kültéri használatra, így bármilyen teret feldobhat ezzel a különleges elemmel. 
A LED-es virágzó cseresznyefa 320 darab melegfehér LED-del van felszerelve, amelyek gyönyörű fényekkel életre keltik a cseresznyevirágot formázó dekorációt. 
A fa állítható ágakkal rendelkezik, így az ön ízlése szerint formálhatja dekorációját. 
A termék tápellátását egy kültéri IP44-es hálózati adapter szolgáltatja, amely biztonságos működést nyújt kültéren is. 
A CBT 320 LED-es virágzó cseresznyefa biztosan lenyűgöző és egyedi díszítőelem lesz az otthonában!</t>
        </is>
      </c>
    </row>
    <row r="1062">
      <c r="A1062" s="3" t="inlineStr">
        <is>
          <t>KMF 6/150</t>
        </is>
      </c>
      <c r="B1062" s="2" t="inlineStr">
        <is>
          <t>Home KMF 6/150 műfenyő beépített világítással, 250 db LED, 150 cm magasság, 94 cm átmérő, talpkapcsoló, 4 funkció</t>
        </is>
      </c>
      <c r="C1062" s="1" t="n">
        <v>75790.0</v>
      </c>
      <c r="D1062" s="7" t="n">
        <f>HYPERLINK("https://www.somogyi.hu/product/home-kmf-6-150-mufenyo-beepitett-vilagitassal-250-db-led-150-cm-magassag-94-cm-atmero-talpkapcsolo-4-funkcio-kmf-6-150-16523","https://www.somogyi.hu/product/home-kmf-6-150-mufenyo-beepitett-vilagitassal-250-db-led-150-cm-magassag-94-cm-atmero-talpkapcsolo-4-funkcio-kmf-6-150-16523")</f>
        <v>0.0</v>
      </c>
      <c r="E1062" s="7" t="n">
        <f>HYPERLINK("https://www.somogyi.hu/data/img/product_main_images/small/16523.jpg","https://www.somogyi.hu/data/img/product_main_images/small/16523.jpg")</f>
        <v>0.0</v>
      </c>
      <c r="F1062" s="2" t="inlineStr">
        <is>
          <t>5999084945558</t>
        </is>
      </c>
      <c r="G1062" s="4" t="inlineStr">
        <is>
          <t>Tegye különlegessé az ünnepi varázslatot a KMF 6/150 műfenyővel, mely a legmodernebb LED technológiával és lenyűgöző dizájnnal rendelkezik. 
Ez a kivételes fenyőfa nem csak díszít, hanem beépített LED világításával meghitt hangulatot is varázsol otthonába. 
A világításért 250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558 csúcs gondoskodnak arról, hogy a fenyőfa csodálatosan díszített legyen. 
A fém talp és a zsanérral csatlakozó ágak stabil és biztonságos szerkezetet alkotnak. 
A fenyő 150 cm magas, legnagyobb átmérője pedig 94 cm.
Ne habozzon, tegye felejthetetlenné az ünnepeket a KMF 6/150 műfenyővel, és hozza be az ünnepi fények varázsát otthonába!</t>
        </is>
      </c>
    </row>
    <row r="1063">
      <c r="A1063" s="3" t="inlineStr">
        <is>
          <t>KIX 4/180</t>
        </is>
      </c>
      <c r="B1063" s="2" t="inlineStr">
        <is>
          <t>Optikai szálas műfenyő</t>
        </is>
      </c>
      <c r="C1063" s="1" t="n">
        <v>45290.0</v>
      </c>
      <c r="D1063" s="7" t="n">
        <f>HYPERLINK("https://www.somogyi.hu/product/optikai-szalas-mufenyo-kix-4-180-16522","https://www.somogyi.hu/product/optikai-szalas-mufenyo-kix-4-180-16522")</f>
        <v>0.0</v>
      </c>
      <c r="E1063" s="7" t="n">
        <f>HYPERLINK("https://www.somogyi.hu/data/img/product_main_images/small/16522.jpg","https://www.somogyi.hu/data/img/product_main_images/small/16522.jpg")</f>
        <v>0.0</v>
      </c>
      <c r="F1063" s="2" t="inlineStr">
        <is>
          <t>5999084945541</t>
        </is>
      </c>
      <c r="G1063" s="4" t="inlineStr">
        <is>
          <t>A gyors megoldások kedvelőinek ajánljuk KIX 4 szériánk 180 cm magas darabját, amely 240 db csúccsal és 240 db LED-del rendelkezik. A hidegfehér optikai szálas dekoráció mellett 16 db színváltó EVA gömb is díszíti műfenyőnket. Kész megoldás az ünnepi rohanásban!</t>
        </is>
      </c>
    </row>
    <row r="1064">
      <c r="A1064" s="3" t="inlineStr">
        <is>
          <t>KMF 7/180</t>
        </is>
      </c>
      <c r="B1064" s="2" t="inlineStr">
        <is>
          <t>Home KMF 7/180 fél műfenyő beépített világítással, 240 db LED, 180 cm magasság, 100 cm legnagyobb átmérő, talpkapcsoló, sík oldal</t>
        </is>
      </c>
      <c r="C1064" s="1" t="n">
        <v>45190.0</v>
      </c>
      <c r="D1064" s="7" t="n">
        <f>HYPERLINK("https://www.somogyi.hu/product/home-kmf-7-180-fel-mufenyo-beepitett-vilagitassal-240-db-led-180-cm-magassag-100-cm-legnagyobb-atmero-talpkapcsolo-sik-oldal-kmf-7-180-17510","https://www.somogyi.hu/product/home-kmf-7-180-fel-mufenyo-beepitett-vilagitassal-240-db-led-180-cm-magassag-100-cm-legnagyobb-atmero-talpkapcsolo-sik-oldal-kmf-7-180-17510")</f>
        <v>0.0</v>
      </c>
      <c r="E1064" s="7" t="n">
        <f>HYPERLINK("https://www.somogyi.hu/data/img/product_main_images/small/17510.jpg","https://www.somogyi.hu/data/img/product_main_images/small/17510.jpg")</f>
        <v>0.0</v>
      </c>
      <c r="F1064" s="2" t="inlineStr">
        <is>
          <t>5999084955328</t>
        </is>
      </c>
      <c r="G1064" s="4" t="inlineStr">
        <is>
          <t>Tegye emlékezetessé az ünnepi időszakot a KMF 7/180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240 db melegfehér LED fénye varázslatos fényekkel tölti meg a műfenyőt, míg a 537 csúcs további díszítési lehetőségeket kínál. 
180 cm-es magasságával és a 100 cm legnagyobb átmérőjével a KMF 7/180 műfenyő tökéletes választás az ünnepi hangulat megteremtéséhez. 
Ne habozzon, tegye még szebbé az ünnepeket ezzel a gyönyörű műfenyővel!</t>
        </is>
      </c>
    </row>
    <row r="1065">
      <c r="A1065" s="3" t="inlineStr">
        <is>
          <t>587226</t>
        </is>
      </c>
      <c r="B1065" s="2" t="inlineStr">
        <is>
          <t>Deres hatású műfenyő</t>
        </is>
      </c>
      <c r="C1065" s="1" t="n">
        <v>53790.0</v>
      </c>
      <c r="D1065" s="7" t="n">
        <f>HYPERLINK("https://www.somogyi.hu/product/deres-hatasu-mufenyo-587226-17023","https://www.somogyi.hu/product/deres-hatasu-mufenyo-587226-17023")</f>
        <v>0.0</v>
      </c>
      <c r="E1065" s="7" t="n">
        <f>HYPERLINK("https://www.somogyi.hu/data/img/product_main_images/small/17023.jpg","https://www.somogyi.hu/data/img/product_main_images/small/17023.jpg")</f>
        <v>0.0</v>
      </c>
      <c r="F1065" s="2" t="inlineStr">
        <is>
          <t>5996524082859</t>
        </is>
      </c>
      <c r="G1065" s="4" t="inlineStr">
        <is>
          <t xml:space="preserve"> • elhelyezhetőség: beltéri 
 • magasság: 150 cm 
 • egyéb: 3D   2D vegyes tűlevelek / ágak csatlakozása zsanérral / fém talp / 982 ág /            magasság (A): 150 cm, legnagyobb átmérő (B): 80 cm</t>
        </is>
      </c>
    </row>
    <row r="1066">
      <c r="A1066" s="3" t="inlineStr">
        <is>
          <t>KMF 7/150</t>
        </is>
      </c>
      <c r="B1066" s="2" t="inlineStr">
        <is>
          <t>Home KMF 7/150 fél műfenyő beépített világítással, 180 db LED, 150 cm magasság, 85 cm legnagyobb átmérő, talpkapcsoló, sík oldal</t>
        </is>
      </c>
      <c r="C1066" s="1" t="n">
        <v>35790.0</v>
      </c>
      <c r="D1066" s="7" t="n">
        <f>HYPERLINK("https://www.somogyi.hu/product/home-kmf-7-150-fel-mufenyo-beepitett-vilagitassal-180-db-led-150-cm-magassag-85-cm-legnagyobb-atmero-talpkapcsolo-sik-oldal-kmf-7-150-17509","https://www.somogyi.hu/product/home-kmf-7-150-fel-mufenyo-beepitett-vilagitassal-180-db-led-150-cm-magassag-85-cm-legnagyobb-atmero-talpkapcsolo-sik-oldal-kmf-7-150-17509")</f>
        <v>0.0</v>
      </c>
      <c r="E1066" s="7" t="n">
        <f>HYPERLINK("https://www.somogyi.hu/data/img/product_main_images/small/17509.jpg","https://www.somogyi.hu/data/img/product_main_images/small/17509.jpg")</f>
        <v>0.0</v>
      </c>
      <c r="F1066" s="2" t="inlineStr">
        <is>
          <t>5999084955311</t>
        </is>
      </c>
      <c r="G1066" s="4" t="inlineStr">
        <is>
          <t>Tegye emlékezetessé az ünnepi időszakot a KMF 7/150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180 db melegfehér LED fénye varázslatos fényekkel tölti meg a műfenyőt, míg a 373 csúcs további díszítési lehetőségeket kínál. 
150 cm-es magasságával és a 85 cm legnagyobb átmérőjével a KMF 7/150 műfenyő tökéletes választás az ünnepi hangulat megteremtéséhez. 
Ne habozzon, tegye még szebbé az ünnepeket ezzel a gyönyörű műfenyővel!</t>
        </is>
      </c>
    </row>
    <row r="1067">
      <c r="A1067" s="3" t="inlineStr">
        <is>
          <t>KMF 4/210</t>
        </is>
      </c>
      <c r="B1067" s="2" t="inlineStr">
        <is>
          <t>Home KMF 4/210 műfenyő, 210 cm magasság, 142 cm átmérő</t>
        </is>
      </c>
      <c r="C1067" s="1" t="n">
        <v>156990.0</v>
      </c>
      <c r="D1067" s="7" t="n">
        <f>HYPERLINK("https://www.somogyi.hu/product/home-kmf-4-210-mufenyo-210-cm-magassag-142-cm-atmero-kmf-4-210-16082","https://www.somogyi.hu/product/home-kmf-4-210-mufenyo-210-cm-magassag-142-cm-atmero-kmf-4-210-16082")</f>
        <v>0.0</v>
      </c>
      <c r="E1067" s="7" t="n">
        <f>HYPERLINK("https://www.somogyi.hu/data/img/product_main_images/small/16082.jpg","https://www.somogyi.hu/data/img/product_main_images/small/16082.jpg")</f>
        <v>0.0</v>
      </c>
      <c r="F1067" s="2" t="inlineStr">
        <is>
          <t>5999084941147</t>
        </is>
      </c>
      <c r="G1067" s="4" t="inlineStr">
        <is>
          <t>Hozza be az ünnepi hangulatot otthonába a KMF 4/210 műfenyővel! 
Ez a gyönyörűen kidolgozott fenyőfa a 3D+2D tűlevelek kombinációjával és impozáns 3068 csúcsával káprázatos látványt nyújt. 
A masszív fém talp biztosítja a stabilitást, 210 cm-es magasságával ideális választás nagyobb belmagasságú terek dekorálásához. Legnagyobb átmérője 142 cm. 
Tegye felejthetetlenné az ünnepeket a KMF 4/210 műfenyővel, és teremtsen varázslatos atmoszférát otthonában!</t>
        </is>
      </c>
    </row>
    <row r="1068">
      <c r="A1068" s="6" t="inlineStr">
        <is>
          <t xml:space="preserve">   Karácsonyi dekorációs világítás / Ablakdísz</t>
        </is>
      </c>
      <c r="B1068" s="6" t="inlineStr">
        <is>
          <t/>
        </is>
      </c>
      <c r="C1068" s="6" t="inlineStr">
        <is>
          <t/>
        </is>
      </c>
      <c r="D1068" s="6" t="inlineStr">
        <is>
          <t/>
        </is>
      </c>
      <c r="E1068" s="6" t="inlineStr">
        <is>
          <t/>
        </is>
      </c>
      <c r="F1068" s="6" t="inlineStr">
        <is>
          <t/>
        </is>
      </c>
      <c r="G1068" s="6" t="inlineStr">
        <is>
          <t/>
        </is>
      </c>
    </row>
    <row r="1069">
      <c r="A1069" s="3" t="inlineStr">
        <is>
          <t>KID 321</t>
        </is>
      </c>
      <c r="B1069" s="2" t="inlineStr">
        <is>
          <t>LED-es ablakdísz</t>
        </is>
      </c>
      <c r="C1069" s="1" t="n">
        <v>949.0</v>
      </c>
      <c r="D1069" s="7" t="n">
        <f>HYPERLINK("https://www.somogyi.hu/product/led-es-ablakdisz-kid-321-11928","https://www.somogyi.hu/product/led-es-ablakdisz-kid-321-11928")</f>
        <v>0.0</v>
      </c>
      <c r="E1069" s="7" t="n">
        <f>HYPERLINK("https://www.somogyi.hu/data/img/product_main_images/small/11928.jpg","https://www.somogyi.hu/data/img/product_main_images/small/11928.jpg")</f>
        <v>0.0</v>
      </c>
      <c r="F1069" s="2" t="inlineStr">
        <is>
          <t>5999084901400</t>
        </is>
      </c>
      <c r="G1069" s="4" t="inlineStr">
        <is>
          <t>Világítsa ki a hideg téli estéken ablakát egy-egy aranyos LED-es ablakdísszel és árassza el otthonát egy kis melegséggel. A KID 321 típusú egy rénszarvas formájú ablakdísz, amelynek világítását egy darab színváltós LED biztosítja. Az ablakdísz könnyedén, az öntapadó segítségével felrögzíthető az ablaküvegre. Mérete: 10 cm. Válassza a minőségi termékeket és rendeljen webáruházunkból.</t>
        </is>
      </c>
    </row>
    <row r="1070">
      <c r="A1070" s="3" t="inlineStr">
        <is>
          <t>KAL 01</t>
        </is>
      </c>
      <c r="B1070" s="2" t="inlineStr">
        <is>
          <t>Gyertyapiramis</t>
        </is>
      </c>
      <c r="C1070" s="1" t="n">
        <v>6390.0</v>
      </c>
      <c r="D1070" s="7" t="n">
        <f>HYPERLINK("https://www.somogyi.hu/product/gyertyapiramis-kal-01-13385","https://www.somogyi.hu/product/gyertyapiramis-kal-01-13385")</f>
        <v>0.0</v>
      </c>
      <c r="E1070" s="7" t="n">
        <f>HYPERLINK("https://www.somogyi.hu/data/img/product_main_images/small/13385.jpg","https://www.somogyi.hu/data/img/product_main_images/small/13385.jpg")</f>
        <v>0.0</v>
      </c>
      <c r="F1070" s="2" t="inlineStr">
        <is>
          <t>5999084914714</t>
        </is>
      </c>
      <c r="G1070" s="4" t="inlineStr">
        <is>
          <t>Keresse Ön is a szép és masszív kialakítású dekorációkat! A gyertyapiramisok talán az egyik legnépszerűbb ablakdíszek, hiszen kialakításuk nagyon sok melegséget és bensőséges hangulatot sugall. 
A KAL 01 anyagában színezett piros műanyag ablakív összesen 7 db melegfehér állófényű LED-del rendelkezik. Tápellátása elemmel történik. Válassza a minőségi termékeket és rendeljen webáruházunkból.</t>
        </is>
      </c>
    </row>
    <row r="1071">
      <c r="A1071" s="3" t="inlineStr">
        <is>
          <t>KID 322</t>
        </is>
      </c>
      <c r="B1071" s="2" t="inlineStr">
        <is>
          <t>Home KID 322 LED-es ablakdísz, 1 db LED, öntapadós, hóember, színváltó</t>
        </is>
      </c>
      <c r="C1071" s="1" t="n">
        <v>949.0</v>
      </c>
      <c r="D1071" s="7" t="n">
        <f>HYPERLINK("https://www.somogyi.hu/product/home-kid-322-led-es-ablakdisz-1-db-led-ontapados-hoember-szinvalto-kid-322-11929","https://www.somogyi.hu/product/home-kid-322-led-es-ablakdisz-1-db-led-ontapados-hoember-szinvalto-kid-322-11929")</f>
        <v>0.0</v>
      </c>
      <c r="E1071" s="7" t="n">
        <f>HYPERLINK("https://www.somogyi.hu/data/img/product_main_images/small/11929.jpg","https://www.somogyi.hu/data/img/product_main_images/small/11929.jpg")</f>
        <v>0.0</v>
      </c>
      <c r="F1071" s="2" t="inlineStr">
        <is>
          <t>5999084901417</t>
        </is>
      </c>
      <c r="G1071" s="4" t="inlineStr">
        <is>
          <t>Szeretné, ha ablaka karácsonyi hangulatot árasztana? A KID 322 hóember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322 ablakdísszel, és élvezze a változatos fényjátékot minden nap!</t>
        </is>
      </c>
    </row>
    <row r="1072">
      <c r="A1072" s="3" t="inlineStr">
        <is>
          <t>KID 323</t>
        </is>
      </c>
      <c r="B1072" s="2" t="inlineStr">
        <is>
          <t>Home KID 323 LED-es ablakdísz, 1 db LED, öntapadós, mikulás, színváltó</t>
        </is>
      </c>
      <c r="C1072" s="1" t="n">
        <v>949.0</v>
      </c>
      <c r="D1072" s="7" t="n">
        <f>HYPERLINK("https://www.somogyi.hu/product/home-kid-323-led-es-ablakdisz-1-db-led-ontapados-mikulas-szinvalto-kid-323-11930","https://www.somogyi.hu/product/home-kid-323-led-es-ablakdisz-1-db-led-ontapados-mikulas-szinvalto-kid-323-11930")</f>
        <v>0.0</v>
      </c>
      <c r="E1072" s="7" t="n">
        <f>HYPERLINK("https://www.somogyi.hu/data/img/product_main_images/small/11930.jpg","https://www.somogyi.hu/data/img/product_main_images/small/11930.jpg")</f>
        <v>0.0</v>
      </c>
      <c r="F1072" s="2" t="inlineStr">
        <is>
          <t>5999084901424</t>
        </is>
      </c>
      <c r="G1072" s="4" t="inlineStr">
        <is>
          <t>Szeretné, ha ablaka karácsonyi hangulatot árasztana? A KID 323 mikulás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323 ablakdísszel, és élvezze a változatos fényjátékot minden nap!</t>
        </is>
      </c>
    </row>
    <row r="1073">
      <c r="A1073" s="3" t="inlineStr">
        <is>
          <t>KID 411</t>
        </is>
      </c>
      <c r="B1073" s="2" t="inlineStr">
        <is>
          <t>Home KID 411 csillag ablakdísz, 8 db LED, öntapadós elemtartó</t>
        </is>
      </c>
      <c r="C1073" s="1" t="n">
        <v>2590.0</v>
      </c>
      <c r="D1073" s="7" t="n">
        <f>HYPERLINK("https://www.somogyi.hu/product/home-kid-411-csillag-ablakdisz-8-db-led-ontapados-elemtarto-kid-411-12030","https://www.somogyi.hu/product/home-kid-411-csillag-ablakdisz-8-db-led-ontapados-elemtarto-kid-411-12030")</f>
        <v>0.0</v>
      </c>
      <c r="E1073" s="7" t="n">
        <f>HYPERLINK("https://www.somogyi.hu/data/img/product_main_images/small/12030.jpg","https://www.somogyi.hu/data/img/product_main_images/small/12030.jpg")</f>
        <v>0.0</v>
      </c>
      <c r="F1073" s="2" t="inlineStr">
        <is>
          <t>5999084902421</t>
        </is>
      </c>
      <c r="G1073" s="4" t="inlineStr">
        <is>
          <t>A karácsonyi ablakdíszek egyik legszebbike a csillag formájú ábra. A KID 411-es ablakdísz világítását összesen 8 db melegfehér LED biztosítja. A dísz ideális kiakasztásához 20 cm-es hosszúságú átlátszó vezeték, valamint öntapadós elemtartó is tarozik. Válassza a minőségi termékeket és rendeljen webáruházunkból.</t>
        </is>
      </c>
    </row>
    <row r="1074">
      <c r="A1074" s="3" t="inlineStr">
        <is>
          <t>KLW 17 S</t>
        </is>
      </c>
      <c r="B1074" s="2" t="inlineStr">
        <is>
          <t>Home KLW 17 S ajtódísz, ablakdísz, fa, csillag forma, 6 db LED, lézervágott, hóember, kapcsolható</t>
        </is>
      </c>
      <c r="C1074" s="1" t="n">
        <v>4290.0</v>
      </c>
      <c r="D1074" s="7" t="n">
        <f>HYPERLINK("https://www.somogyi.hu/product/home-klw-17-s-ajtodisz-ablakdisz-fa-csillag-forma-6-db-led-lezervagott-hoember-kapcsolhato-klw-17-s-16971","https://www.somogyi.hu/product/home-klw-17-s-ajtodisz-ablakdisz-fa-csillag-forma-6-db-led-lezervagott-hoember-kapcsolhato-klw-17-s-16971")</f>
        <v>0.0</v>
      </c>
      <c r="E1074" s="7" t="n">
        <f>HYPERLINK("https://www.somogyi.hu/data/img/product_main_images/small/16971.jpg","https://www.somogyi.hu/data/img/product_main_images/small/16971.jpg")</f>
        <v>0.0</v>
      </c>
      <c r="F1074" s="2" t="inlineStr">
        <is>
          <t>5999084950033</t>
        </is>
      </c>
      <c r="G1074" s="4" t="inlineStr">
        <is>
          <t xml:space="preserve"> • elhelyezhetőség: beltéri 
 • fényforrás: LED 
 • fényforrások száma: 6 db 
 • fényforrások színe: melegfehér 
 • funkciók: fa ablak-, ajtódísz, csillag, hóember figurával 
 • méret: 18 x 17 x 2,2 cm 
 • tápellátás: 2 x AAA (1,5 V) elem (nem tartozék) 
 • egyéb: lézerrel kivágott motívumok • OFF/ON (6 h ON / 18 h OFF) ismétlődő időzítés</t>
        </is>
      </c>
    </row>
    <row r="1075">
      <c r="A1075" s="3" t="inlineStr">
        <is>
          <t>KLW 32</t>
        </is>
      </c>
      <c r="B1075" s="2" t="inlineStr">
        <is>
          <t>Home KLW 32 ablakdísz, ajtódísz, fa, 6 db LED, lézervágott, kapcsolható</t>
        </is>
      </c>
      <c r="C1075" s="1" t="n">
        <v>5190.0</v>
      </c>
      <c r="D1075" s="7" t="n">
        <f>HYPERLINK("https://www.somogyi.hu/product/home-klw-32-ablakdisz-ajtodisz-fa-6-db-led-lezervagott-kapcsolhato-klw-32-16969","https://www.somogyi.hu/product/home-klw-32-ablakdisz-ajtodisz-fa-6-db-led-lezervagott-kapcsolhato-klw-32-16969")</f>
        <v>0.0</v>
      </c>
      <c r="E1075" s="7" t="n">
        <f>HYPERLINK("https://www.somogyi.hu/data/img/product_main_images/small/16969.jpg","https://www.somogyi.hu/data/img/product_main_images/small/16969.jpg")</f>
        <v>0.0</v>
      </c>
      <c r="F1075" s="2" t="inlineStr">
        <is>
          <t>5999084950019</t>
        </is>
      </c>
      <c r="G1075" s="4" t="inlineStr">
        <is>
          <t>Szeretné otthonát egyedi és stílusos dekorációval feldobni? A KLW 32 fából készült ablak- és ajtódísz tökéletes választás minden lakásban!
A lézerrel kivágott motívumokkal díszített dekoráció 6 db melegfehér LED-del világít, amelyek barátságos és kellemes atmoszférát teremtenek. 
Az ismétlődő időzítés funkcióval (6 óra bekapcsolt és 18 óra kikapcsolt állapot) automatikusan irányíthatja a fényeket, anélkül, hogy minden nap manuálisan be- és kikapcsolná. 
A tápellátás 2 x 1,5 V (AAA) elemmel történik, amelyek nem tartoznak a csomaghoz.
Díszítse otthonát a KLW 32 fa dekorációval, és élvezze a melegfehér LED-ek által teremtett hangulatos atmoszférát! 
Tegye meg most az első lépést egy barátságosabb és melegebb otthon felé a KLW 32 fa ablak- és ajtódísszel!</t>
        </is>
      </c>
    </row>
    <row r="1076">
      <c r="A1076" s="3" t="inlineStr">
        <is>
          <t>KLW 21 R</t>
        </is>
      </c>
      <c r="B1076" s="2" t="inlineStr">
        <is>
          <t>Home KLW 21 R ajtódísz, ablakdísz, fa, rénszarvas forma, 4 db LED, lézervágott, kapcsolható</t>
        </is>
      </c>
      <c r="C1076" s="1" t="n">
        <v>3990.0</v>
      </c>
      <c r="D1076" s="7" t="n">
        <f>HYPERLINK("https://www.somogyi.hu/product/home-klw-21-r-ajtodisz-ablakdisz-fa-renszarvas-forma-4-db-led-lezervagott-kapcsolhato-klw-21-r-16972","https://www.somogyi.hu/product/home-klw-21-r-ajtodisz-ablakdisz-fa-renszarvas-forma-4-db-led-lezervagott-kapcsolhato-klw-21-r-16972")</f>
        <v>0.0</v>
      </c>
      <c r="E1076" s="7" t="n">
        <f>HYPERLINK("https://www.somogyi.hu/data/img/product_main_images/small/16972.jpg","https://www.somogyi.hu/data/img/product_main_images/small/16972.jpg")</f>
        <v>0.0</v>
      </c>
      <c r="F1076" s="2" t="inlineStr">
        <is>
          <t>5999084950040</t>
        </is>
      </c>
      <c r="G1076" s="4" t="inlineStr">
        <is>
          <t>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77">
      <c r="A1077" s="3" t="inlineStr">
        <is>
          <t>KLW 17 R</t>
        </is>
      </c>
      <c r="B1077" s="2" t="inlineStr">
        <is>
          <t>Fa ablak-, ajtódísz, csillag</t>
        </is>
      </c>
      <c r="C1077" s="1" t="n">
        <v>4290.0</v>
      </c>
      <c r="D1077" s="7" t="n">
        <f>HYPERLINK("https://www.somogyi.hu/product/fa-ablak-ajtodisz-csillag-klw-17-r-16982","https://www.somogyi.hu/product/fa-ablak-ajtodisz-csillag-klw-17-r-16982")</f>
        <v>0.0</v>
      </c>
      <c r="E1077" s="7" t="n">
        <f>HYPERLINK("https://www.somogyi.hu/data/img/product_main_images/small/16982.jpg","https://www.somogyi.hu/data/img/product_main_images/small/16982.jpg")</f>
        <v>0.0</v>
      </c>
      <c r="F1077" s="2" t="inlineStr">
        <is>
          <t>5999084950149</t>
        </is>
      </c>
      <c r="G1077" s="4" t="inlineStr">
        <is>
          <t xml:space="preserve"> • elhelyezhetőség: beltéri 
 • fényforrás: LED 
 • fényforrások száma: 6 db 
 • fényforrások színe: melegfehér 
 • funkciók: fa ablak-, ajtódísz, csillag, rénszarvas figurával 
 • méret: 13 x 21 x 2,2 cm 
 • tápellátás: 2 x AAA (1,5 V) elem (nem tartozék) 
 • egyéb: lézerrel kivágott motívumok • OFF/ON (6 h ON / 18 h OFF) ismétlődő időzítés</t>
        </is>
      </c>
    </row>
    <row r="1078">
      <c r="A1078" s="3" t="inlineStr">
        <is>
          <t>KAD 07</t>
        </is>
      </c>
      <c r="B1078" s="2" t="inlineStr">
        <is>
          <t>Home KAD 07 gyertyapiramis, 7 db izzó, lakkozott fa, L2040C/E10</t>
        </is>
      </c>
      <c r="C1078" s="1" t="n">
        <v>10390.0</v>
      </c>
      <c r="D1078" s="7" t="n">
        <f>HYPERLINK("https://www.somogyi.hu/product/home-kad-07-gyertyapiramis-7-db-izzo-lakkozott-fa-l2040c-e10-kad-07-8973","https://www.somogyi.hu/product/home-kad-07-gyertyapiramis-7-db-izzo-lakkozott-fa-l2040c-e10-kad-07-8973")</f>
        <v>0.0</v>
      </c>
      <c r="E1078" s="7" t="n">
        <f>HYPERLINK("https://www.somogyi.hu/data/img/product_main_images/small/08973.jpg","https://www.somogyi.hu/data/img/product_main_images/small/08973.jpg")</f>
        <v>0.0</v>
      </c>
      <c r="F1078" s="2" t="inlineStr">
        <is>
          <t>5998312778531</t>
        </is>
      </c>
      <c r="G1078" s="4" t="inlineStr">
        <is>
          <t>Varázsolja otthonát egy igazi karácsonyi mesevilággá a KAD 07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természetes szépségű, lelakkozott fa ablakív koronázza meg, mely elegáns és időtálló kiegészítőjévé válik otthonának.
Válassza a KAD 07 gyertyapiramist, hogy otthona ünnepi fényekben ragyoghasson!</t>
        </is>
      </c>
    </row>
    <row r="1079">
      <c r="A1079" s="3" t="inlineStr">
        <is>
          <t>KLW 21 S</t>
        </is>
      </c>
      <c r="B1079" s="2" t="inlineStr">
        <is>
          <t>Home KLW 21 S ajtódísz, ablakdísz, fa, hóember forma, 4 db LED, lézervágott, kapcsolható</t>
        </is>
      </c>
      <c r="C1079" s="1" t="n">
        <v>3990.0</v>
      </c>
      <c r="D1079" s="7" t="n">
        <f>HYPERLINK("https://www.somogyi.hu/product/home-klw-21-s-ajtodisz-ablakdisz-fa-hoember-forma-4-db-led-lezervagott-kapcsolhato-klw-21-s-16983","https://www.somogyi.hu/product/home-klw-21-s-ajtodisz-ablakdisz-fa-hoember-forma-4-db-led-lezervagott-kapcsolhato-klw-21-s-16983")</f>
        <v>0.0</v>
      </c>
      <c r="E1079" s="7" t="n">
        <f>HYPERLINK("https://www.somogyi.hu/data/img/product_main_images/small/16983.jpg","https://www.somogyi.hu/data/img/product_main_images/small/16983.jpg")</f>
        <v>0.0</v>
      </c>
      <c r="F1079" s="2" t="inlineStr">
        <is>
          <t>5999084950156</t>
        </is>
      </c>
      <c r="G1079" s="4" t="inlineStr">
        <is>
          <t>KLW 21 S
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80">
      <c r="A1080" s="3" t="inlineStr">
        <is>
          <t>KAD 07/RD</t>
        </is>
      </c>
      <c r="B1080" s="2" t="inlineStr">
        <is>
          <t>Home KAD 07/RD gyertyapiramis, 7 db izzó, piros fa, L2040C/E10</t>
        </is>
      </c>
      <c r="C1080" s="1" t="n">
        <v>10390.0</v>
      </c>
      <c r="D1080" s="7" t="n">
        <f>HYPERLINK("https://www.somogyi.hu/product/home-kad-07-rd-gyertyapiramis-7-db-izzo-piros-fa-l2040c-e10-kad-07-rd-8972","https://www.somogyi.hu/product/home-kad-07-rd-gyertyapiramis-7-db-izzo-piros-fa-l2040c-e10-kad-07-rd-8972")</f>
        <v>0.0</v>
      </c>
      <c r="E1080" s="7" t="n">
        <f>HYPERLINK("https://www.somogyi.hu/data/img/product_main_images/small/08972.jpg","https://www.somogyi.hu/data/img/product_main_images/small/08972.jpg")</f>
        <v>0.0</v>
      </c>
      <c r="F1080" s="2" t="inlineStr">
        <is>
          <t>5998312778524</t>
        </is>
      </c>
      <c r="G1080" s="4" t="inlineStr">
        <is>
          <t>Varázsolja otthonát egy igazi karácsonyi mesevilággá a KAD 07/RD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pirosra festett fa ablakív koronázza meg, mely elegáns és időtálló kiegészítőjévé válik otthonának.
Válassza a KAD 07/RD gyertyapiramist, hogy otthona ünnepi fényekben ragyoghasson!</t>
        </is>
      </c>
    </row>
    <row r="1081">
      <c r="A1081" s="3" t="inlineStr">
        <is>
          <t>KAD 02</t>
        </is>
      </c>
      <c r="B1081" s="2" t="inlineStr">
        <is>
          <t>Home KAD 02 gyertyapiramis, 7 db izzó, lakkozott fa, L7D</t>
        </is>
      </c>
      <c r="C1081" s="1" t="n">
        <v>10090.0</v>
      </c>
      <c r="D1081" s="7" t="n">
        <f>HYPERLINK("https://www.somogyi.hu/product/home-kad-02-gyertyapiramis-7-db-izzo-lakkozott-fa-l7d-kad-02-4932","https://www.somogyi.hu/product/home-kad-02-gyertyapiramis-7-db-izzo-lakkozott-fa-l7d-kad-02-4932")</f>
        <v>0.0</v>
      </c>
      <c r="E1081" s="7" t="n">
        <f>HYPERLINK("https://www.somogyi.hu/data/img/product_main_images/small/04932.jpg","https://www.somogyi.hu/data/img/product_main_images/small/04932.jpg")</f>
        <v>0.0</v>
      </c>
      <c r="F1081" s="2" t="inlineStr">
        <is>
          <t>5998312743553</t>
        </is>
      </c>
      <c r="G1081" s="4" t="inlineStr">
        <is>
          <t>Szeretne egy gyönyörű díszt, ami nem csak az ablakpárkányt díszíti, hanem az egész szobát meleg fénybe borítja? A KAD 02 gyertyaív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02 gyertyaívvel!</t>
        </is>
      </c>
    </row>
    <row r="1082">
      <c r="A1082" s="3" t="inlineStr">
        <is>
          <t>KAD 03</t>
        </is>
      </c>
      <c r="B1082" s="2" t="inlineStr">
        <is>
          <t>Home KAD 03 gyertyapiramis, 7 db izzó, fehér festett fa, L7D</t>
        </is>
      </c>
      <c r="C1082" s="1" t="n">
        <v>6890.0</v>
      </c>
      <c r="D1082" s="7" t="n">
        <f>HYPERLINK("https://www.somogyi.hu/product/home-kad-03-gyertyapiramis-7-db-izzo-feher-festett-fa-l7d-kad-03-4934","https://www.somogyi.hu/product/home-kad-03-gyertyapiramis-7-db-izzo-feher-festett-fa-l7d-kad-03-4934")</f>
        <v>0.0</v>
      </c>
      <c r="E1082" s="7" t="n">
        <f>HYPERLINK("https://www.somogyi.hu/data/img/product_main_images/small/04934.jpg","https://www.somogyi.hu/data/img/product_main_images/small/04934.jpg")</f>
        <v>0.0</v>
      </c>
      <c r="F1082" s="2" t="inlineStr">
        <is>
          <t>5998312743560</t>
        </is>
      </c>
      <c r="G1082" s="4" t="inlineStr">
        <is>
          <t>Szeretne egy gyönyörű díszt, ami nem csak az ablakpárkányt díszíti, hanem az egész szobát meleg fénybe borítja? A KAD 03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fehérre festett fa ablakív, ami a hagyományos és modern elemek tökéletes ötvözeteként funkcionál. Tápellátása 230 V~.
Ne hagyja ki ezt a kivételes darabot – tegye az otthonát még hangulatosabbá a KAD 03 gyertyapiramissal!</t>
        </is>
      </c>
    </row>
    <row r="1083">
      <c r="A1083" s="3" t="inlineStr">
        <is>
          <t>KID 503 B/M</t>
        </is>
      </c>
      <c r="B1083" s="2" t="inlineStr">
        <is>
          <t>Home KID 503 B/M csillag ablakdísz, 35 db színes LED, 3 funkció, kapcsolható</t>
        </is>
      </c>
      <c r="C1083" s="1" t="n">
        <v>2290.0</v>
      </c>
      <c r="D1083" s="7" t="n">
        <f>HYPERLINK("https://www.somogyi.hu/product/home-kid-503-b-m-csillag-ablakdisz-35-db-szines-led-3-funkcio-kapcsolhato-kid-503-b-m-17333","https://www.somogyi.hu/product/home-kid-503-b-m-csillag-ablakdisz-35-db-szines-led-3-funkcio-kapcsolhato-kid-503-b-m-17333")</f>
        <v>0.0</v>
      </c>
      <c r="E1083" s="7" t="n">
        <f>HYPERLINK("https://www.somogyi.hu/data/img/product_main_images/small/17333.jpg","https://www.somogyi.hu/data/img/product_main_images/small/17333.jpg")</f>
        <v>0.0</v>
      </c>
      <c r="F1083" s="2" t="inlineStr">
        <is>
          <t>5999084953553</t>
        </is>
      </c>
      <c r="G1083" s="4" t="inlineStr">
        <is>
          <t>Szeretné otthonát ünnepi fényekkel feldobni? 
A KID 503 B/M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nyílászárói környezetébe enteriőrbe. A tápellátás egyszerű, mindössze 3 db 1,5 V (AA) elemre van szükség, amelyek nem tartozékok. 
A dísz 35 db színes LED-del van ellátva, amelyek kellemes fényt árasztanak, és meghitt környezetet teremtenek. 
Rendelje meg most a KID 503 B/M terméket, és tegye különlegessé otthonát ezzel a csillag ablakdísszel!</t>
        </is>
      </c>
    </row>
    <row r="1084">
      <c r="A1084" s="3" t="inlineStr">
        <is>
          <t>KID 331/WH</t>
        </is>
      </c>
      <c r="B1084" s="2" t="inlineStr">
        <is>
          <t>Home KID 331/WH LED-es ablakdísz, öntapadós, hidegfehér LED</t>
        </is>
      </c>
      <c r="C1084" s="1" t="n">
        <v>949.0</v>
      </c>
      <c r="D1084" s="7" t="n">
        <f>HYPERLINK("https://www.somogyi.hu/product/home-kid-331-wh-led-es-ablakdisz-ontapados-hidegfeher-led-kid-331-wh-14726","https://www.somogyi.hu/product/home-kid-331-wh-led-es-ablakdisz-ontapados-hidegfeher-led-kid-331-wh-14726")</f>
        <v>0.0</v>
      </c>
      <c r="E1084" s="7" t="n">
        <f>HYPERLINK("https://www.somogyi.hu/data/img/product_main_images/small/14726.jpg","https://www.somogyi.hu/data/img/product_main_images/small/14726.jpg")</f>
        <v>0.0</v>
      </c>
      <c r="F1084" s="2" t="inlineStr">
        <is>
          <t>5999084927684</t>
        </is>
      </c>
      <c r="G1084" s="4" t="inlineStr">
        <is>
          <t>Az ablakunkra hulló hópelyhek igazán bensőségen mutatnak, ezért most dekoráció formájában Ön is kitehet egy-egy hópelyhet ábrázoló díszt az ablakába.
A KID 331/WH LED-es ablakdísz öntapadósan rögzíthető, amelynek világítását egy hidegfehér LED biztosítja. Tápellátása elemmel oldható meg. Válassza a minőségi termékeket és rendeljen webáruházunkból.</t>
        </is>
      </c>
    </row>
    <row r="1085">
      <c r="A1085" s="3" t="inlineStr">
        <is>
          <t>KID 502 B/M</t>
        </is>
      </c>
      <c r="B1085" s="2" t="inlineStr">
        <is>
          <t>Home KID 502 B/M fenyőfa ablakdísz, 35 db színes LED, 3 funkció, kapcsolható</t>
        </is>
      </c>
      <c r="C1085" s="1" t="n">
        <v>2290.0</v>
      </c>
      <c r="D1085" s="7" t="n">
        <f>HYPERLINK("https://www.somogyi.hu/product/home-kid-502-b-m-fenyofa-ablakdisz-35-db-szines-led-3-funkcio-kapcsolhato-kid-502-b-m-17332","https://www.somogyi.hu/product/home-kid-502-b-m-fenyofa-ablakdisz-35-db-szines-led-3-funkcio-kapcsolhato-kid-502-b-m-17332")</f>
        <v>0.0</v>
      </c>
      <c r="E1085" s="7" t="n">
        <f>HYPERLINK("https://www.somogyi.hu/data/img/product_main_images/small/17332.jpg","https://www.somogyi.hu/data/img/product_main_images/small/17332.jpg")</f>
        <v>0.0</v>
      </c>
      <c r="F1085" s="2" t="inlineStr">
        <is>
          <t>5999084953546</t>
        </is>
      </c>
      <c r="G1085" s="4" t="inlineStr">
        <is>
          <t>Szeretné otthonát ünnepi fényekkel feldobni? 
A KID 502 B/M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színes LED-del van ellátva, amelyek kellemes fényt árasztanak, és meghitt környezetet teremtenek. 
Rendelje meg most a KID 502 B/M terméket, és tegye különlegessé otthonát ezzel a fenyőfa ablakdísszel!</t>
        </is>
      </c>
    </row>
    <row r="1086">
      <c r="A1086" s="3" t="inlineStr">
        <is>
          <t>KID 701</t>
        </is>
      </c>
      <c r="B1086" s="2" t="inlineStr">
        <is>
          <t>Home KID 701 hókristály ablakdísz, 16 db LED, akril, hidegfehér</t>
        </is>
      </c>
      <c r="C1086" s="1" t="n">
        <v>4090.0</v>
      </c>
      <c r="D1086" s="7" t="n">
        <f>HYPERLINK("https://www.somogyi.hu/product/home-kid-701-hokristaly-ablakdisz-16-db-led-akril-hidegfeher-kid-701-11910","https://www.somogyi.hu/product/home-kid-701-hokristaly-ablakdisz-16-db-led-akril-hidegfeher-kid-701-11910")</f>
        <v>0.0</v>
      </c>
      <c r="E1086" s="7" t="n">
        <f>HYPERLINK("https://www.somogyi.hu/data/img/product_main_images/small/11910.jpg","https://www.somogyi.hu/data/img/product_main_images/small/11910.jpg")</f>
        <v>0.0</v>
      </c>
      <c r="F1086" s="2" t="inlineStr">
        <is>
          <t>5999084901226</t>
        </is>
      </c>
      <c r="G1086" s="4" t="inlineStr">
        <is>
          <t>Egy tökéletes téli ablakdíszt keres? A KID 701 LED-es hókristály ablakdísz pontosan ilyen. 
Ez az ablakdísz akril anyagból készült, melyet 16 db hidegfehér LED világít meg. Az átlátszó vezetékkel könnyedén elhelyezhető bármely ablakon.
A tápellátáshoz 3 db 1,5 V (AA) elemre van szükség, amelyek nem tartozékai a terméknek. 
Válassza a KID 701 LED-es hókristályt és hozza el a téli hangulatot otthonába!</t>
        </is>
      </c>
    </row>
    <row r="1087">
      <c r="A1087" s="3" t="inlineStr">
        <is>
          <t>KID 502 B/WW</t>
        </is>
      </c>
      <c r="B1087" s="2" t="inlineStr">
        <is>
          <t>Home KID 502 B/WW fenyőfa ablakdísz, 35 db melegfehér LED, 3 funkció, kapcsolható</t>
        </is>
      </c>
      <c r="C1087" s="1" t="n">
        <v>2290.0</v>
      </c>
      <c r="D1087" s="7" t="n">
        <f>HYPERLINK("https://www.somogyi.hu/product/home-kid-502-b-ww-fenyofa-ablakdisz-35-db-melegfeher-led-3-funkcio-kapcsolhato-kid-502-b-ww-17037","https://www.somogyi.hu/product/home-kid-502-b-ww-fenyofa-ablakdisz-35-db-melegfeher-led-3-funkcio-kapcsolhato-kid-502-b-ww-17037")</f>
        <v>0.0</v>
      </c>
      <c r="E1087" s="7" t="n">
        <f>HYPERLINK("https://www.somogyi.hu/data/img/product_main_images/small/17037.jpg","https://www.somogyi.hu/data/img/product_main_images/small/17037.jpg")</f>
        <v>0.0</v>
      </c>
      <c r="F1087" s="2" t="inlineStr">
        <is>
          <t>5999084950699</t>
        </is>
      </c>
      <c r="G1087" s="4" t="inlineStr">
        <is>
          <t>Szeretné otthonát ünnepi fényekkel feldobni? 
A KID 502 B/WW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502 B/WW terméket, és tegye különlegessé otthonát ezzel a fenyőfa ablakdísszel!</t>
        </is>
      </c>
    </row>
    <row r="1088">
      <c r="A1088" s="3" t="inlineStr">
        <is>
          <t>KAD 01</t>
        </is>
      </c>
      <c r="B1088" s="2" t="inlineStr">
        <is>
          <t>Home KAD 01 gyertyapiramis, 7 db izzó, lakkozott fa, L7D</t>
        </is>
      </c>
      <c r="C1088" s="1" t="n">
        <v>6890.0</v>
      </c>
      <c r="D1088" s="7" t="n">
        <f>HYPERLINK("https://www.somogyi.hu/product/home-kad-01-gyertyapiramis-7-db-izzo-lakkozott-fa-l7d-kad-01-4931","https://www.somogyi.hu/product/home-kad-01-gyertyapiramis-7-db-izzo-lakkozott-fa-l7d-kad-01-4931")</f>
        <v>0.0</v>
      </c>
      <c r="E1088" s="7" t="n">
        <f>HYPERLINK("https://www.somogyi.hu/data/img/product_main_images/small/04931.jpg","https://www.somogyi.hu/data/img/product_main_images/small/04931.jpg")</f>
        <v>0.0</v>
      </c>
      <c r="F1088" s="2" t="inlineStr">
        <is>
          <t>5998312743546</t>
        </is>
      </c>
      <c r="G1088" s="4" t="inlineStr">
        <is>
          <t>Szeretne egy gyönyörű díszt, ami nem csak az ablakpárkányt díszíti, hanem az egész szobát meleg fénybe borítja? A KAD 01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01 gyertyapiramissal!</t>
        </is>
      </c>
    </row>
    <row r="1089">
      <c r="A1089" s="3" t="inlineStr">
        <is>
          <t>KID 331</t>
        </is>
      </c>
      <c r="B1089" s="2" t="inlineStr">
        <is>
          <t>Home KID 331 LED-es ablakdísz, öntapadós, színváltó LED</t>
        </is>
      </c>
      <c r="C1089" s="1" t="n">
        <v>949.0</v>
      </c>
      <c r="D1089" s="7" t="n">
        <f>HYPERLINK("https://www.somogyi.hu/product/home-kid-331-led-es-ablakdisz-ontapados-szinvalto-led-kid-331-13992","https://www.somogyi.hu/product/home-kid-331-led-es-ablakdisz-ontapados-szinvalto-led-kid-331-13992")</f>
        <v>0.0</v>
      </c>
      <c r="E1089" s="7" t="n">
        <f>HYPERLINK("https://www.somogyi.hu/data/img/product_main_images/small/13992.jpg","https://www.somogyi.hu/data/img/product_main_images/small/13992.jpg")</f>
        <v>0.0</v>
      </c>
      <c r="F1089" s="2" t="inlineStr">
        <is>
          <t>5999084920449</t>
        </is>
      </c>
      <c r="G1089" s="4" t="inlineStr">
        <is>
          <t>Kíváncsi, hogyan varázsolhatja ablakát ünnepivé egy mozdulattal? A KID 331 LED-es ablakdísz a válasz! Ez az öntapadós hópehely pillanatok alatt felszerelhető, és azonnal feldobja otthona hangulatát.
A csomag tartalmaz 2 x 3 V (CR2032) gombelemet, tehát nem kell külön gondoskodnia a tápellátásról. A legjobb az egészben, hogy a dísz színváltó LED-del van ellátva, mely izgalmas fényjátékkal szolgál.
Ne hagyja ki a lehetőséget, hogy ablakát csodálatos, új fényekben lássa! Rendelje meg most a KID 331 LED-es ablakdíszt, és varázsolja el otthonát!</t>
        </is>
      </c>
    </row>
    <row r="1090">
      <c r="A1090" s="3" t="inlineStr">
        <is>
          <t>KID 314</t>
        </is>
      </c>
      <c r="B1090" s="2" t="inlineStr">
        <is>
          <t>Home KID 311 karácsonyfa ablakdísz, 10 db LED, öntapadó elemtartó, 16 x 20 cm</t>
        </is>
      </c>
      <c r="C1090" s="1" t="n">
        <v>3990.0</v>
      </c>
      <c r="D1090" s="7" t="n">
        <f>HYPERLINK("https://www.somogyi.hu/product/home-kid-311-karacsonyfa-ablakdisz-10-db-led-ontapado-elemtarto-16-x-20-cm-kid-314-12029","https://www.somogyi.hu/product/home-kid-311-karacsonyfa-ablakdisz-10-db-led-ontapado-elemtarto-16-x-20-cm-kid-314-12029")</f>
        <v>0.0</v>
      </c>
      <c r="E1090" s="7" t="n">
        <f>HYPERLINK("https://www.somogyi.hu/data/img/product_main_images/small/12029.jpg","https://www.somogyi.hu/data/img/product_main_images/small/12029.jpg")</f>
        <v>0.0</v>
      </c>
      <c r="F1090" s="2" t="inlineStr">
        <is>
          <t>5999084902414</t>
        </is>
      </c>
      <c r="G1090" s="4" t="inlineStr">
        <is>
          <t>Szeretné apránként feldíszíteni otthonát? Ismerje meg a KID 314 LED-es karácsonyfa ablakdíszt, és tegyen egy lépést az ünnepi hangulat felé! 
A KID 314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karácsonyfa ablakdísszel! Rendelje meg most KID 314 termékünket, és varázsoljon otthonába ünnepi fényeket!</t>
        </is>
      </c>
    </row>
    <row r="1091">
      <c r="A1091" s="3" t="inlineStr">
        <is>
          <t>KLW 40</t>
        </is>
      </c>
      <c r="B1091" s="2" t="inlineStr">
        <is>
          <t>Home KLW 40 fa világító kép, 6 db LED, lézervágott, kapcsolható</t>
        </is>
      </c>
      <c r="C1091" s="1" t="n">
        <v>5190.0</v>
      </c>
      <c r="D1091" s="7" t="n">
        <f>HYPERLINK("https://www.somogyi.hu/product/home-klw-40-fa-vilagito-kep-6-db-led-lezervagott-kapcsolhato-klw-40-16970","https://www.somogyi.hu/product/home-klw-40-fa-vilagito-kep-6-db-led-lezervagott-kapcsolhato-klw-40-16970")</f>
        <v>0.0</v>
      </c>
      <c r="E1091" s="7" t="n">
        <f>HYPERLINK("https://www.somogyi.hu/data/img/product_main_images/small/16970.jpg","https://www.somogyi.hu/data/img/product_main_images/small/16970.jpg")</f>
        <v>0.0</v>
      </c>
      <c r="F1091" s="2" t="inlineStr">
        <is>
          <t>5999084950026</t>
        </is>
      </c>
      <c r="G1091" s="4" t="inlineStr">
        <is>
          <t>Szeretné falát egyedi és látványos módon feldobni? A KLW 40 fa világító kép tökéletes választás! A kép lézerrel kivágott motívumokat tartalmaz, amelyeket 6 db melegfehér LED világít meg, így azonnal meghitt és kellemes atmoszférát teremt otthonában.
A bekapcsolást követően a beépített időzítő funkcióval (6 óra bekapcsolt, 18 óra kikapcsolt állapot) gond nélkül időzítheti a világítást, és nem kell aggódnia, hogy feleslegesen fogyaszt energiát. A tápellátásról 2 x 1,5 V (AAA) elem gondoskodik, amelyeket külön kell megvásárolnia, mivel azok nem tartozékai a terméknek.
Tegye otthonát még különlegesebbé a KLW 40 fa világító képpel! Rendelje meg most, és élvezze a melegfehér LED-ek által teremtett hangulatot!</t>
        </is>
      </c>
    </row>
    <row r="1092">
      <c r="A1092" s="3" t="inlineStr">
        <is>
          <t>KID 412</t>
        </is>
      </c>
      <c r="B1092" s="2" t="inlineStr">
        <is>
          <t>Home KID 412 karácsonyfa ablakdísz, 8 db LED, öntapadós elemtartó</t>
        </is>
      </c>
      <c r="C1092" s="1" t="n">
        <v>2590.0</v>
      </c>
      <c r="D1092" s="7" t="n">
        <f>HYPERLINK("https://www.somogyi.hu/product/home-kid-412-karacsonyfa-ablakdisz-8-db-led-ontapados-elemtarto-kid-412-12031","https://www.somogyi.hu/product/home-kid-412-karacsonyfa-ablakdisz-8-db-led-ontapados-elemtarto-kid-412-12031")</f>
        <v>0.0</v>
      </c>
      <c r="E1092" s="7" t="n">
        <f>HYPERLINK("https://www.somogyi.hu/data/img/product_main_images/small/12031.jpg","https://www.somogyi.hu/data/img/product_main_images/small/12031.jpg")</f>
        <v>0.0</v>
      </c>
      <c r="F1092" s="2" t="inlineStr">
        <is>
          <t>5999084902438</t>
        </is>
      </c>
      <c r="G1092" s="4" t="inlineStr">
        <is>
          <t>Szeretne egy karácsonyfa alakú dekorációt, ami melegséget visz otthonába? A KID 412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412 csillag formájú LED-es ablakdísszel és adjon egy kis plusz fényt a mindennapokhoz! Varázsoljon meleg, csillagfényes estéket az otthonában még ma!</t>
        </is>
      </c>
    </row>
    <row r="1093">
      <c r="A1093" s="3" t="inlineStr">
        <is>
          <t>KAL 02</t>
        </is>
      </c>
      <c r="B1093" s="2" t="inlineStr">
        <is>
          <t>Home KAL 02 gyertyapiramis, 7 db LED, piros műanyag, kapcsolható, 3 funkció</t>
        </is>
      </c>
      <c r="C1093" s="1" t="n">
        <v>5490.0</v>
      </c>
      <c r="D1093" s="7" t="n">
        <f>HYPERLINK("https://www.somogyi.hu/product/home-kal-02-gyertyapiramis-7-db-led-piros-muanyag-kapcsolhato-3-funkcio-kal-02-18131","https://www.somogyi.hu/product/home-kal-02-gyertyapiramis-7-db-led-piros-muanyag-kapcsolhato-3-funkcio-kal-02-18131")</f>
        <v>0.0</v>
      </c>
      <c r="E1093" s="7" t="n">
        <f>HYPERLINK("https://www.somogyi.hu/data/img/product_main_images/small/18131.jpg","https://www.somogyi.hu/data/img/product_main_images/small/18131.jpg")</f>
        <v>0.0</v>
      </c>
      <c r="F1093" s="2" t="inlineStr">
        <is>
          <t>5999084961534</t>
        </is>
      </c>
      <c r="G1093" s="4" t="inlineStr">
        <is>
          <t>Engedje be a fények királynőjét otthonába a KAL 02 LED-es gyertyapiramis segítségével! 
A 7 db melegfehér állófényű LED diódának köszönhetően minden szegletét megvilágítja lakásának, miközben az anyagában színezett piros műanyag az ünnepi hangulatot idézi fel. 
Különlegességét az intelligens időzítés adja: a TIMER funkcióval 6 órán át világít, majd 18 órára kikapcsol, így a következő napon újra bekapcsol, ezzel is energiát spórolva Önnek. 
A 10 cm magasságú gyertyák minden enteriőrben kitűnően mutatnak, legyen az a nappali központi része vagy az étkezőasztal dísze. 
Bár a tápellátásához 2 db 1,5 V (AA) elem szükséges, amit a csomag nem tartalmaz, a gyertyák hosszú üzemidejűek és energiatakarékosak. Ne hagyja ki ezt a limitált darabszámú ajánlatot! 
Szerezzen be egy KAL 02 LED-ES gyertyapiramist, és adja meg otthonának azt az extra csillogást, amit megérdemel!</t>
        </is>
      </c>
    </row>
    <row r="1094">
      <c r="A1094" s="3" t="inlineStr">
        <is>
          <t>KID 413</t>
        </is>
      </c>
      <c r="B1094" s="2" t="inlineStr">
        <is>
          <t>Home KID 413 angyal ablakdísz, 8 db LED, öntapadós elemtartó</t>
        </is>
      </c>
      <c r="C1094" s="1" t="n">
        <v>2590.0</v>
      </c>
      <c r="D1094" s="7" t="n">
        <f>HYPERLINK("https://www.somogyi.hu/product/home-kid-413-angyal-ablakdisz-8-db-led-ontapados-elemtarto-kid-413-12032","https://www.somogyi.hu/product/home-kid-413-angyal-ablakdisz-8-db-led-ontapados-elemtarto-kid-413-12032")</f>
        <v>0.0</v>
      </c>
      <c r="E1094" s="7" t="n">
        <f>HYPERLINK("https://www.somogyi.hu/data/img/product_main_images/small/12032.jpg","https://www.somogyi.hu/data/img/product_main_images/small/12032.jpg")</f>
        <v>0.0</v>
      </c>
      <c r="F1094" s="2" t="inlineStr">
        <is>
          <t>5999084902445</t>
        </is>
      </c>
      <c r="G1094" s="4" t="inlineStr">
        <is>
          <t>Szeretne egy angyal alakú dekorációt, ami melegséget visz otthonába? A KID 413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413 csillag formájú LED-es ablakdísszel és adjon egy kis plusz fényt a mindennapokhoz! Varázsoljon meleg, csillagfényes estéket az otthonában még ma!</t>
        </is>
      </c>
    </row>
    <row r="1095">
      <c r="A1095" s="3" t="inlineStr">
        <is>
          <t>KID 115</t>
        </is>
      </c>
      <c r="B1095" s="2" t="inlineStr">
        <is>
          <t>Home KID 115 csillag ablakdísz, 115 db microLED, kapcsoló, fém váz</t>
        </is>
      </c>
      <c r="C1095" s="1" t="n">
        <v>3690.0</v>
      </c>
      <c r="D1095" s="7" t="n">
        <f>HYPERLINK("https://www.somogyi.hu/product/home-kid-115-csillag-ablakdisz-115-db-microled-kapcsolo-fem-vaz-kid-115-18134","https://www.somogyi.hu/product/home-kid-115-csillag-ablakdisz-115-db-microled-kapcsolo-fem-vaz-kid-115-18134")</f>
        <v>0.0</v>
      </c>
      <c r="E1095" s="7" t="n">
        <f>HYPERLINK("https://www.somogyi.hu/data/img/product_main_images/small/18134.jpg","https://www.somogyi.hu/data/img/product_main_images/small/18134.jpg")</f>
        <v>0.0</v>
      </c>
      <c r="F1095" s="2" t="inlineStr">
        <is>
          <t>5999084961565</t>
        </is>
      </c>
      <c r="G1095" s="4" t="inlineStr">
        <is>
          <t>Milyen lenne egy ragyogó csillag az ablakában, amely megidézi az ünnep varázsát? A KID 115 LED-es csillag ablakdísz pont ezt kínálja Önnek. Mi teszi ezt a LED-es csillag ablakdíszt különlegessé? 
A KID 115 az erős fém vázával hosszú élettartamot biztosít, miközben a 115 db melegfehér micro LED ragyogásával kápráztatja el látogatóit. 
Az átlátszó vezeték észrevétlenül simul az ablakhoz, így csak a csillag fénye lesz az, ami kiemelkedik. 
Az elemtartón található be/ki kapcsolóval könnyedén irányíthatja a dísz világítását, így akkor élvezheti annak csillogását, amikor csak szeretné. 
A tápellátás egyszerű: csak 3 db 1,5 V (AA) elemre van szükség, amelyek nem tartozékok, így a vásárláskor érdemes beszerezni őket. 
Ne hagyja ki ezt a különleges lehetőséget! Adjon otthonának egy csipetnyi ragyogást a KID 115 LED-es csillag ablakdísszel!</t>
        </is>
      </c>
    </row>
    <row r="1096">
      <c r="A1096" s="3" t="inlineStr">
        <is>
          <t>KID 701/WW</t>
        </is>
      </c>
      <c r="B1096" s="2" t="inlineStr">
        <is>
          <t>Home KID 701/WW hókristály ablakdísz, 16 db LED, akril, melegfehér</t>
        </is>
      </c>
      <c r="C1096" s="1" t="n">
        <v>4090.0</v>
      </c>
      <c r="D1096" s="7" t="n">
        <f>HYPERLINK("https://www.somogyi.hu/product/home-kid-701-ww-hokristaly-ablakdisz-16-db-led-akril-melegfeher-kid-701-ww-17748","https://www.somogyi.hu/product/home-kid-701-ww-hokristaly-ablakdisz-16-db-led-akril-melegfeher-kid-701-ww-17748")</f>
        <v>0.0</v>
      </c>
      <c r="E1096" s="7" t="n">
        <f>HYPERLINK("https://www.somogyi.hu/data/img/product_main_images/small/17748.jpg","https://www.somogyi.hu/data/img/product_main_images/small/17748.jpg")</f>
        <v>0.0</v>
      </c>
      <c r="F1096" s="2" t="inlineStr">
        <is>
          <t>5999084957704</t>
        </is>
      </c>
      <c r="G1096" s="4" t="inlineStr">
        <is>
          <t>Egy tökéletes téli ablakdíszt keres? A KID 701/WW LED-es hókristály ablakdísz pontosan ilyen. 
Ez az ablakdísz akril anyagból készült, melyet 16 db melegfehér LED világít meg. Az átlátszó vezetékkel könnyedén elhelyezhető bármely ablakon.
A tápellátáshoz 3 db 1,5 V (AA) elemre van szükség, amelyek nem tartozékai a terméknek. 
Válassza a KID 701/WW LED-es hókristályt és hozza el a téli hangulatot otthonába!</t>
        </is>
      </c>
    </row>
    <row r="1097">
      <c r="A1097" s="3" t="inlineStr">
        <is>
          <t>KID 415</t>
        </is>
      </c>
      <c r="B1097" s="2" t="inlineStr">
        <is>
          <t>Home KID 415 harang ablakdísz, 8 db LED, öntapadós elemtartó</t>
        </is>
      </c>
      <c r="C1097" s="1" t="n">
        <v>2590.0</v>
      </c>
      <c r="D1097" s="7" t="n">
        <f>HYPERLINK("https://www.somogyi.hu/product/home-kid-415-harang-ablakdisz-8-db-led-ontapados-elemtarto-kid-415-12034","https://www.somogyi.hu/product/home-kid-415-harang-ablakdisz-8-db-led-ontapados-elemtarto-kid-415-12034")</f>
        <v>0.0</v>
      </c>
      <c r="E1097" s="7" t="n">
        <f>HYPERLINK("https://www.somogyi.hu/data/img/product_main_images/small/12034.jpg","https://www.somogyi.hu/data/img/product_main_images/small/12034.jpg")</f>
        <v>0.0</v>
      </c>
      <c r="F1097" s="2" t="inlineStr">
        <is>
          <t>5999084902469</t>
        </is>
      </c>
      <c r="G1097" s="4" t="inlineStr">
        <is>
          <t>Szeretne egy angyal alakú dekorációt, ami melegséget visz otthonába? A KID 415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415 csillag formájú LED-es ablakdísszel és adjon egy kis plusz fényt a mindennapokhoz! Varázsoljon meleg, csillagfényes estéket az otthonában még ma!</t>
        </is>
      </c>
    </row>
    <row r="1098">
      <c r="A1098" s="3" t="inlineStr">
        <is>
          <t>KDC 33</t>
        </is>
      </c>
      <c r="B1098" s="2" t="inlineStr">
        <is>
          <t>Home KDC 33 LED-es kerámia figura, havas házikó, 12 db LED, 42 x 20 x 33 cm</t>
        </is>
      </c>
      <c r="C1098" s="1" t="n">
        <v>17590.0</v>
      </c>
      <c r="D1098" s="7" t="n">
        <f>HYPERLINK("https://www.somogyi.hu/product/home-kdc-33-led-es-keramia-figura-havas-haziko-12-db-led-42-x-20-x-33-cm-kdc-33-16564","https://www.somogyi.hu/product/home-kdc-33-led-es-keramia-figura-havas-haziko-12-db-led-42-x-20-x-33-cm-kdc-33-16564")</f>
        <v>0.0</v>
      </c>
      <c r="E1098" s="7" t="n">
        <f>HYPERLINK("https://www.somogyi.hu/data/img/product_main_images/small/16564.jpg","https://www.somogyi.hu/data/img/product_main_images/small/16564.jpg")</f>
        <v>0.0</v>
      </c>
      <c r="F1098" s="2" t="inlineStr">
        <is>
          <t>5999084945961</t>
        </is>
      </c>
      <c r="G1098" s="4" t="inlineStr">
        <is>
          <t>Hófedte tetők, csendes, békés esték... Egy havas házikó látványa mindenkit elvarázsol. A KDC 33-as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33 cm-es magassága okán bármely helységében könnyedén elfér.
Ne habozzon, tegye még varázslatosabbá az otthonát ezzel a különleges kerámia házikóval!</t>
        </is>
      </c>
    </row>
    <row r="1099">
      <c r="A1099" s="3" t="inlineStr">
        <is>
          <t>KID 211 B/WW</t>
        </is>
      </c>
      <c r="B1099" s="2" t="inlineStr">
        <is>
          <t>Home KID 211 B/WW csillag ablakdísz, 20 db LED, 3 funkció, akril, tapadókorong</t>
        </is>
      </c>
      <c r="C1099" s="1" t="n">
        <v>4290.0</v>
      </c>
      <c r="D1099" s="7" t="n">
        <f>HYPERLINK("https://www.somogyi.hu/product/home-kid-211-b-ww-csillag-ablakdisz-20-db-led-3-funkcio-akril-tapadokorong-kid-211-b-ww-17039","https://www.somogyi.hu/product/home-kid-211-b-ww-csillag-ablakdisz-20-db-led-3-funkcio-akril-tapadokorong-kid-211-b-ww-17039")</f>
        <v>0.0</v>
      </c>
      <c r="E1099" s="7" t="n">
        <f>HYPERLINK("https://www.somogyi.hu/data/img/product_main_images/small/17039.jpg","https://www.somogyi.hu/data/img/product_main_images/small/17039.jpg")</f>
        <v>0.0</v>
      </c>
      <c r="F1099" s="2" t="inlineStr">
        <is>
          <t>5999084950712</t>
        </is>
      </c>
      <c r="G1099" s="4" t="inlineStr">
        <is>
          <t>Ön is szeretné az ablakokon keresztül becsempészni a csillagok fényét otthonába? A KID 211 B/WW fényes csillag ablakdísz pont ezt teszi lehetővé. 
Ez a kivételes ablakdísz 20 db melegfehér LED-del van ellátva, melyeknek fényét a fényes akril anyag még inkább kiemeli. Az ablakhoz való rögzítés is egyszerű, hiszen tartozék egy tapadókorong. A beépített ON/OFF/TIMER funkciókkal rendelkező készülék ismétlődő időzítése garantálja, hogy a dísz 6 órán át ragyogjon, majd 18 órára pihenjen. 
Az átlátszó vezeték diszkréten illeszkedik bármely dekorációhoz. A tápellátás egyszerű, csupán 2 db 1,5 V (AA) elemre van szükség, amelyeket külön kell beszereznie. 
Engedje meg, hogy a KID 211 B/WW fénysugárzó csillag ablakdísz meghozza az ünnepi hangulatot otthonába, és hagyja, hogy minden este a csillagok között érezze magát.</t>
        </is>
      </c>
    </row>
    <row r="1100">
      <c r="A1100" s="3" t="inlineStr">
        <is>
          <t>KID 503 B/WW</t>
        </is>
      </c>
      <c r="B1100" s="2" t="inlineStr">
        <is>
          <t>Home KID 503 B/WW csillag ablakdísz, 35 db melegfehér LED, 3 funkció, kapcsolható</t>
        </is>
      </c>
      <c r="C1100" s="1" t="n">
        <v>2290.0</v>
      </c>
      <c r="D1100" s="7" t="n">
        <f>HYPERLINK("https://www.somogyi.hu/product/home-kid-503-b-ww-csillag-ablakdisz-35-db-melegfeher-led-3-funkcio-kapcsolhato-kid-503-b-ww-17038","https://www.somogyi.hu/product/home-kid-503-b-ww-csillag-ablakdisz-35-db-melegfeher-led-3-funkcio-kapcsolhato-kid-503-b-ww-17038")</f>
        <v>0.0</v>
      </c>
      <c r="E1100" s="7" t="n">
        <f>HYPERLINK("https://www.somogyi.hu/data/img/product_main_images/small/17038.jpg","https://www.somogyi.hu/data/img/product_main_images/small/17038.jpg")</f>
        <v>0.0</v>
      </c>
      <c r="F1100" s="2" t="inlineStr">
        <is>
          <t>5999084950705</t>
        </is>
      </c>
      <c r="G1100" s="4" t="inlineStr">
        <is>
          <t>Szeretné otthonát ünnepi fényekkel feldobni? 
A KID 503 B/WW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503 B/WW terméket, és tegye különlegessé otthonát ezzel a csillag ablakdísszel!</t>
        </is>
      </c>
    </row>
    <row r="1101">
      <c r="A1101" s="3" t="inlineStr">
        <is>
          <t>KID 313</t>
        </is>
      </c>
      <c r="B1101" s="2" t="inlineStr">
        <is>
          <t>LED-es ablkadísz, mikulás, 19cm, 4,5V</t>
        </is>
      </c>
      <c r="C1101" s="1" t="n">
        <v>1990.0</v>
      </c>
      <c r="D1101" s="7" t="n">
        <f>HYPERLINK("https://www.somogyi.hu/product/led-es-ablkadisz-mikulas-19cm-4-5v-kid-313-12028","https://www.somogyi.hu/product/led-es-ablkadisz-mikulas-19cm-4-5v-kid-313-12028")</f>
        <v>0.0</v>
      </c>
      <c r="E1101" s="7" t="n">
        <f>HYPERLINK("https://www.somogyi.hu/data/img/product_main_images/small/12028.jpg","https://www.somogyi.hu/data/img/product_main_images/small/12028.jpg")</f>
        <v>0.0</v>
      </c>
      <c r="F1101" s="2" t="inlineStr">
        <is>
          <t>5999084902407</t>
        </is>
      </c>
      <c r="G1101" s="4" t="inlineStr">
        <is>
          <t>Keresse az aranyos karácsonyi ablakdíszeket! A KID 313 egy mikulás alakú LED-es beltéri ablakdísz. Fényét 10 darab hidegfehér LED biztosítja. A dekoráció tápellátása elemmel történik. Magassága: 19 cm. Válassza a minőségi termékeket és rendeljen webáruházunkból!</t>
        </is>
      </c>
    </row>
    <row r="1102">
      <c r="A1102" s="3" t="inlineStr">
        <is>
          <t>KID 311</t>
        </is>
      </c>
      <c r="B1102" s="2" t="inlineStr">
        <is>
          <t>Home KID 311 rénszarvas ablakdísz, 10 db LED, öntapadó elemtartó, 10 x 26 cm</t>
        </is>
      </c>
      <c r="C1102" s="1" t="n">
        <v>3990.0</v>
      </c>
      <c r="D1102" s="7" t="n">
        <f>HYPERLINK("https://www.somogyi.hu/product/home-kid-311-renszarvas-ablakdisz-10-db-led-ontapado-elemtarto-10-x-26-cm-kid-311-12026","https://www.somogyi.hu/product/home-kid-311-renszarvas-ablakdisz-10-db-led-ontapado-elemtarto-10-x-26-cm-kid-311-12026")</f>
        <v>0.0</v>
      </c>
      <c r="E1102" s="7" t="n">
        <f>HYPERLINK("https://www.somogyi.hu/data/img/product_main_images/small/12026.jpg","https://www.somogyi.hu/data/img/product_main_images/small/12026.jpg")</f>
        <v>0.0</v>
      </c>
      <c r="F1102" s="2" t="inlineStr">
        <is>
          <t>5999084902384</t>
        </is>
      </c>
      <c r="G1102" s="4" t="inlineStr">
        <is>
          <t>Szeretné apránként feldíszíteni otthonát? Ismerje meg a KID 311 LED-es rénszarvas ablakdíszt, és tegyen egy lépést az ünnepi hangulat felé! 
A KID 311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rénszarvas ablakdísszel! Rendelje meg most KID 311 termékünket, és varázsoljon otthonába ünnepi fényeket!</t>
        </is>
      </c>
    </row>
    <row r="1103">
      <c r="A1103" s="3" t="inlineStr">
        <is>
          <t>KID 312</t>
        </is>
      </c>
      <c r="B1103" s="2" t="inlineStr">
        <is>
          <t>Home KID 312 hóember ablakdísz, 10 db LED, öntapadó elemtartó, 19 x 21 cm</t>
        </is>
      </c>
      <c r="C1103" s="1" t="n">
        <v>3990.0</v>
      </c>
      <c r="D1103" s="7" t="n">
        <f>HYPERLINK("https://www.somogyi.hu/product/home-kid-312-hoember-ablakdisz-10-db-led-ontapado-elemtarto-19-x-21-cm-kid-312-12027","https://www.somogyi.hu/product/home-kid-312-hoember-ablakdisz-10-db-led-ontapado-elemtarto-19-x-21-cm-kid-312-12027")</f>
        <v>0.0</v>
      </c>
      <c r="E1103" s="7" t="n">
        <f>HYPERLINK("https://www.somogyi.hu/data/img/product_main_images/small/12027.jpg","https://www.somogyi.hu/data/img/product_main_images/small/12027.jpg")</f>
        <v>0.0</v>
      </c>
      <c r="F1103" s="2" t="inlineStr">
        <is>
          <t>5999084902391</t>
        </is>
      </c>
      <c r="G1103" s="4" t="inlineStr">
        <is>
          <t>Szeretné apránként feldíszíteni otthonát? Ismerje meg a KID 312 LED-es hóember ablakdíszt, és tegyen egy lépést az ünnepi hangulat felé! 
A KID 312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hóember ablakdísszel! Rendelje meg most KID 312 termékünket, és varázsoljon otthonába ünnepi fényeket!</t>
        </is>
      </c>
    </row>
    <row r="1104">
      <c r="A1104" s="6" t="inlineStr">
        <is>
          <t xml:space="preserve">   Karácsonyi dekorációs világítás / Lámpás</t>
        </is>
      </c>
      <c r="B1104" s="6" t="inlineStr">
        <is>
          <t/>
        </is>
      </c>
      <c r="C1104" s="6" t="inlineStr">
        <is>
          <t/>
        </is>
      </c>
      <c r="D1104" s="6" t="inlineStr">
        <is>
          <t/>
        </is>
      </c>
      <c r="E1104" s="6" t="inlineStr">
        <is>
          <t/>
        </is>
      </c>
      <c r="F1104" s="6" t="inlineStr">
        <is>
          <t/>
        </is>
      </c>
      <c r="G1104" s="6" t="inlineStr">
        <is>
          <t/>
        </is>
      </c>
    </row>
    <row r="1105">
      <c r="A1105" s="3" t="inlineStr">
        <is>
          <t>LTN 18</t>
        </is>
      </c>
      <c r="B1105" s="2" t="inlineStr">
        <is>
          <t>Home LTN 18 lámpás vízkeveréssel, csillámokkal, hóember, LED, kapcsolható, 3 funkció, beltéri</t>
        </is>
      </c>
      <c r="C1105" s="1" t="n">
        <v>9590.0</v>
      </c>
      <c r="D1105" s="7" t="n">
        <f>HYPERLINK("https://www.somogyi.hu/product/home-ltn-18-lampas-vizkeveressel-csillamokkal-hoember-led-kapcsolhato-3-funkcio-belteri-ltn-18-17346","https://www.somogyi.hu/product/home-ltn-18-lampas-vizkeveressel-csillamokkal-hoember-led-kapcsolhato-3-funkcio-belteri-ltn-18-17346")</f>
        <v>0.0</v>
      </c>
      <c r="E1105" s="7" t="n">
        <f>HYPERLINK("https://www.somogyi.hu/data/img/product_main_images/small/17346.jpg","https://www.somogyi.hu/data/img/product_main_images/small/17346.jpg")</f>
        <v>0.0</v>
      </c>
      <c r="F1105" s="2" t="inlineStr">
        <is>
          <t>5999084953683</t>
        </is>
      </c>
      <c r="G1105" s="4" t="inlineStr">
        <is>
          <t>Szeretne belső tereibe egy varázslatos és különleges dekorációt? Az LTN 18 pontosan ezt kínálja. 
Ez a beltéri kivitelű lámpa egy hóember formájú, LED világítást biztosító lámpás. A csillámok a vízkeverés hatására mozognak, így teremtve csodálatos és elvarázsoló látványt.
A bekapcsolást követően a beépített ismétlődő időzítéssel (6 óra bekapcsolva, 18 óra kikapcsolva) energiát takaríthat meg, és nem kell aggódnia, hogy a lámpát bekapcsolva felejtette. A tápellátáshoz 3 db 1,5 V (AA) elem szükséges, amelyek nem tartoznak a csomaghoz.
Hozzon létre különleges és varázslatos hangulatot otthonában az LTN 18! Rendelje meg most és élvezze a meleg és barátságos fényt, amelyet ez a különleges lámpa nyújt!</t>
        </is>
      </c>
    </row>
    <row r="1106">
      <c r="A1106" s="3" t="inlineStr">
        <is>
          <t>LTN 15</t>
        </is>
      </c>
      <c r="B1106" s="2" t="inlineStr">
        <is>
          <t>Home LTN 15 lámpás vízkeveréssel, csillámokkal, viharlámpa, LED, kapcsolható, műanyag, beltéri</t>
        </is>
      </c>
      <c r="C1106" s="1" t="n">
        <v>13690.0</v>
      </c>
      <c r="D1106" s="7" t="n">
        <f>HYPERLINK("https://www.somogyi.hu/product/home-ltn-15-lampas-vizkeveressel-csillamokkal-viharlampa-led-kapcsolhato-muanyag-belteri-ltn-15-17001","https://www.somogyi.hu/product/home-ltn-15-lampas-vizkeveressel-csillamokkal-viharlampa-led-kapcsolhato-muanyag-belteri-ltn-15-17001")</f>
        <v>0.0</v>
      </c>
      <c r="E1106" s="7" t="n">
        <f>HYPERLINK("https://www.somogyi.hu/data/img/product_main_images/small/17001.jpg","https://www.somogyi.hu/data/img/product_main_images/small/17001.jpg")</f>
        <v>0.0</v>
      </c>
      <c r="F1106" s="2" t="inlineStr">
        <is>
          <t>5999084950330</t>
        </is>
      </c>
      <c r="G1106" s="4" t="inlineStr">
        <is>
          <t>Szeretne belső tereibe egy varázslatos és különleges dekorációt? Az LTN 15 pontosan ezt kínálja. 
Ez a beltéri kivitelű termék viharlámpa formájú, műanyagból készült, és melegfehér LED világítást biztosító lámpás. A csillámok a vízkeverés hatására mozognak, így teremtve csodálatos és elvarázsoló látványt.
Az ON/OFF kapcsoló lehetővé teszi, hogy könnyedén be- és kikapcsolja a lámpát. A tápellátáshoz 3 db 1,5 V (AA) elem szükséges, amelyek nem tartoznak a csomaghoz.
Hozzon létre különleges és varázslatos hangulatot otthonában az LTN 15! Rendelje meg most és élvezze a meleg és barátságos fényt, amelyet ez a különleges lámpás nyújt!</t>
        </is>
      </c>
    </row>
    <row r="1107">
      <c r="A1107" s="3" t="inlineStr">
        <is>
          <t>LTN 14</t>
        </is>
      </c>
      <c r="B1107" s="2" t="inlineStr">
        <is>
          <t>Home LTN 14 lámpás vízkeveréssel, csillámokkal, mozdony, LED, kapcsolható, 3 funkció, műanyag, beltéri</t>
        </is>
      </c>
      <c r="C1107" s="1" t="n">
        <v>12190.0</v>
      </c>
      <c r="D1107" s="7" t="n">
        <f>HYPERLINK("https://www.somogyi.hu/product/home-ltn-14-lampas-vizkeveressel-csillamokkal-mozdony-led-kapcsolhato-3-funkcio-muanyag-belteri-ltn-14-17000","https://www.somogyi.hu/product/home-ltn-14-lampas-vizkeveressel-csillamokkal-mozdony-led-kapcsolhato-3-funkcio-muanyag-belteri-ltn-14-17000")</f>
        <v>0.0</v>
      </c>
      <c r="E1107" s="7" t="n">
        <f>HYPERLINK("https://www.somogyi.hu/data/img/product_main_images/small/17000.jpg","https://www.somogyi.hu/data/img/product_main_images/small/17000.jpg")</f>
        <v>0.0</v>
      </c>
      <c r="F1107" s="2" t="inlineStr">
        <is>
          <t>5999084950323</t>
        </is>
      </c>
      <c r="G1107" s="4" t="inlineStr">
        <is>
          <t>Szeretne belső tereibe egy varázslatos és különleges dekorációt? Az LTN 14 pontosan ezt kínálja. 
Ez a beltéri kivitelű lámpa egy mozdony formájú, műanyagból készült, és melegfehér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14! Rendelje meg most és élvezze a meleg és barátságos fényt, amelyet ez a különleges lámpa nyújt!</t>
        </is>
      </c>
    </row>
    <row r="1108">
      <c r="A1108" s="3" t="inlineStr">
        <is>
          <t>LTN 16</t>
        </is>
      </c>
      <c r="B1108" s="2" t="inlineStr">
        <is>
          <t>Home LTN 16 lámpás vízkeveréssel, csillámokkal, mikulás, LED, kapcsolható, 3 funkció, műanyag, beltéri</t>
        </is>
      </c>
      <c r="C1108" s="1" t="n">
        <v>16590.0</v>
      </c>
      <c r="D1108" s="7" t="n">
        <f>HYPERLINK("https://www.somogyi.hu/product/home-ltn-16-lampas-vizkeveressel-csillamokkal-mikulas-led-kapcsolhato-3-funkcio-muanyag-belteri-ltn-16-17340","https://www.somogyi.hu/product/home-ltn-16-lampas-vizkeveressel-csillamokkal-mikulas-led-kapcsolhato-3-funkcio-muanyag-belteri-ltn-16-17340")</f>
        <v>0.0</v>
      </c>
      <c r="E1108" s="7" t="n">
        <f>HYPERLINK("https://www.somogyi.hu/data/img/product_main_images/small/17340.jpg","https://www.somogyi.hu/data/img/product_main_images/small/17340.jpg")</f>
        <v>0.0</v>
      </c>
      <c r="F1108" s="2" t="inlineStr">
        <is>
          <t>5999084953621</t>
        </is>
      </c>
      <c r="G1108" s="4" t="inlineStr">
        <is>
          <t>Szeretne belső tereibe egy varázslatos és különleges dekorációt? Az LTN 16 pontosan ezt kínálja. 
Ez a beltéri kivitelű lámpa egy mikulást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16! Rendelje meg most és élvezze a meleg és barátságos fényt, amelyet ez a különleges lámpa nyújt!</t>
        </is>
      </c>
    </row>
    <row r="1109">
      <c r="A1109" s="3" t="inlineStr">
        <is>
          <t>LTN 17</t>
        </is>
      </c>
      <c r="B1109" s="2" t="inlineStr">
        <is>
          <t>Home LTN 17 lámpás vízkeveréssel, csillámokkal, katona, LED, kapcsolható, 3 funkció, műanyag, beltéri</t>
        </is>
      </c>
      <c r="C1109" s="1" t="n">
        <v>15290.0</v>
      </c>
      <c r="D1109" s="7" t="n">
        <f>HYPERLINK("https://www.somogyi.hu/product/home-ltn-17-lampas-vizkeveressel-csillamokkal-katona-led-kapcsolhato-3-funkcio-muanyag-belteri-ltn-17-17343","https://www.somogyi.hu/product/home-ltn-17-lampas-vizkeveressel-csillamokkal-katona-led-kapcsolhato-3-funkcio-muanyag-belteri-ltn-17-17343")</f>
        <v>0.0</v>
      </c>
      <c r="E1109" s="7" t="n">
        <f>HYPERLINK("https://www.somogyi.hu/data/img/product_main_images/small/17343.jpg","https://www.somogyi.hu/data/img/product_main_images/small/17343.jpg")</f>
        <v>0.0</v>
      </c>
      <c r="F1109" s="2" t="inlineStr">
        <is>
          <t>5999084953652</t>
        </is>
      </c>
      <c r="G1109" s="4" t="inlineStr">
        <is>
          <t>Szeretne belső tereibe egy varázslatos és különleges dekorációt? Az LTN 17 pontosan ezt kínálja. 
Ez a beltéri kivitelű lámpa egy katonát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17! Rendelje meg most és élvezze a meleg és barátságos fényt, amelyet ez a különleges lámpa nyújt!</t>
        </is>
      </c>
    </row>
    <row r="1110">
      <c r="A1110" s="6" t="inlineStr">
        <is>
          <t xml:space="preserve">   Karácsonyi dekorációs világítás / Akril figura</t>
        </is>
      </c>
      <c r="B1110" s="6" t="inlineStr">
        <is>
          <t/>
        </is>
      </c>
      <c r="C1110" s="6" t="inlineStr">
        <is>
          <t/>
        </is>
      </c>
      <c r="D1110" s="6" t="inlineStr">
        <is>
          <t/>
        </is>
      </c>
      <c r="E1110" s="6" t="inlineStr">
        <is>
          <t/>
        </is>
      </c>
      <c r="F1110" s="6" t="inlineStr">
        <is>
          <t/>
        </is>
      </c>
      <c r="G1110" s="6" t="inlineStr">
        <is>
          <t/>
        </is>
      </c>
    </row>
    <row r="1111">
      <c r="A1111" s="3" t="inlineStr">
        <is>
          <t>KDA 6</t>
        </is>
      </c>
      <c r="B1111" s="2" t="inlineStr">
        <is>
          <t>Home KDA 6 akril jegesmedve, 120 db LED, IP44, kültéri, beltéri</t>
        </is>
      </c>
      <c r="C1111" s="1" t="n">
        <v>49990.0</v>
      </c>
      <c r="D1111" s="7" t="n">
        <f>HYPERLINK("https://www.somogyi.hu/product/home-kda-6-akril-jegesmedve-120-db-led-ip44-kulteri-belteri-kda-6-14040","https://www.somogyi.hu/product/home-kda-6-akril-jegesmedve-120-db-led-ip44-kulteri-belteri-kda-6-14040")</f>
        <v>0.0</v>
      </c>
      <c r="E1111" s="7" t="n">
        <f>HYPERLINK("https://www.somogyi.hu/data/img/product_main_images/small/14040.jpg","https://www.somogyi.hu/data/img/product_main_images/small/14040.jpg")</f>
        <v>0.0</v>
      </c>
      <c r="F1111" s="2" t="inlineStr">
        <is>
          <t>5999084920920</t>
        </is>
      </c>
      <c r="G1111" s="4" t="inlineStr">
        <is>
          <t>Hozza el a telet otthonába a KDA 6 akril jegesmedvével! 
Ez a bájos dekoráció nemcsak esztétikus, hanem varázslatos hangulatot is teremt az ünnepi szezonban. A jegesmedvében elhelyezett 120 hidegfehér LED fényével a dekoráció életre kel, és ragyogóan világítja be a környezetét. 
A kültéri IP44-es hálózati adapterrel egyszerűen csatlakoztathatja a jegesmedvét az áramforráshoz, így élvezheti a gyönyörű fényjátékot akár a kertben, akár a nappalijában. Vigye haza a téli varázst a KDA 6 akril jegesmedvével, és teremtsen meghitt hangulatot az otthonában!</t>
        </is>
      </c>
    </row>
    <row r="1112">
      <c r="A1112" s="3" t="inlineStr">
        <is>
          <t>KDA 7</t>
        </is>
      </c>
      <c r="B1112" s="2" t="inlineStr">
        <is>
          <t>Home KDA 7 akril rénszarvas, 64 LED, IP44, kültéri, beltéri</t>
        </is>
      </c>
      <c r="C1112" s="1" t="n">
        <v>25890.0</v>
      </c>
      <c r="D1112" s="7" t="n">
        <f>HYPERLINK("https://www.somogyi.hu/product/home-kda-7-akril-renszarvas-64-led-ip44-kulteri-belteri-kda-7-14863","https://www.somogyi.hu/product/home-kda-7-akril-renszarvas-64-led-ip44-kulteri-belteri-kda-7-14863")</f>
        <v>0.0</v>
      </c>
      <c r="E1112" s="7" t="n">
        <f>HYPERLINK("https://www.somogyi.hu/data/img/product_main_images/small/14863.jpg","https://www.somogyi.hu/data/img/product_main_images/small/14863.jpg")</f>
        <v>0.0</v>
      </c>
      <c r="F1112" s="2" t="inlineStr">
        <is>
          <t>5999084929008</t>
        </is>
      </c>
      <c r="G1112" s="4" t="inlineStr">
        <is>
          <t>Varázsoljon ünnepi hangulatot otthonába az KDA 7 nevű akril rénszarvassal! 
Ez a csodálatos dekorációs elem ideális választás mind beltéri, mind kültéri használatra, hogy különlegessé tegye otthonát és ünnepi dekorációját. Az akril rénszarvas 64 db hidegfehér LED-del van felszerelve.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7 nevű akril rénszarvassal, és teremtsen felejthetetlen emlékeket!</t>
        </is>
      </c>
    </row>
    <row r="1113">
      <c r="A1113" s="3" t="inlineStr">
        <is>
          <t>KDA 11</t>
        </is>
      </c>
      <c r="B1113" s="2" t="inlineStr">
        <is>
          <t>Home KDA 11 akril mikulás, 16 db LED, IP44, színes, kültéri, beltéri</t>
        </is>
      </c>
      <c r="C1113" s="1" t="n">
        <v>5690.0</v>
      </c>
      <c r="D1113" s="7" t="n">
        <f>HYPERLINK("https://www.somogyi.hu/product/home-kda-11-akril-mikulas-16-db-led-ip44-szines-kulteri-belteri-kda-11-16975","https://www.somogyi.hu/product/home-kda-11-akril-mikulas-16-db-led-ip44-szines-kulteri-belteri-kda-11-16975")</f>
        <v>0.0</v>
      </c>
      <c r="E1113" s="7" t="n">
        <f>HYPERLINK("https://www.somogyi.hu/data/img/product_main_images/small/16975.jpg","https://www.somogyi.hu/data/img/product_main_images/small/16975.jpg")</f>
        <v>0.0</v>
      </c>
      <c r="F1113" s="2" t="inlineStr">
        <is>
          <t>5999084950071</t>
        </is>
      </c>
      <c r="G1113" s="4" t="inlineStr">
        <is>
          <t>Ismerkedjen meg a KDA 11 színes akril Mikulással! 
Ez a bájos dekoráció nem csak örömet hoz otthonába, hanem egyedi fényjátékkal is gazdagítja ünnepi hangulatát. A színes akril Mikulás 16 hidegfehér LED fényforrással rendelkezik. Kültéren és beltéren is elhelyezheti, így többféleképpen díszítheti vele otthonát. 
A kültéri IP44-es hálózati adapterrel könnyedén csatlakoztathatja a dekorációt a hálózathoz, így biztos lehet abban, hogy fényei folyamatosan ragyognak az ünnepek alatt. 
Ne habozzon, tegye felejthetetlenné az ünnepi időszakot a KDA 11 nevű színes akril Mikulással!</t>
        </is>
      </c>
    </row>
    <row r="1114">
      <c r="A1114" s="3" t="inlineStr">
        <is>
          <t>KDA 40</t>
        </is>
      </c>
      <c r="B1114" s="2" t="inlineStr">
        <is>
          <t>Home KDA 40 akril rénszarvas, 200 db LED, IP44, kültéri, beltéri</t>
        </is>
      </c>
      <c r="C1114" s="1" t="n">
        <v>58390.0</v>
      </c>
      <c r="D1114" s="7" t="n">
        <f>HYPERLINK("https://www.somogyi.hu/product/home-kda-40-akril-renszarvas-200-db-led-ip44-kulteri-belteri-kda-40-16500","https://www.somogyi.hu/product/home-kda-40-akril-renszarvas-200-db-led-ip44-kulteri-belteri-kda-40-16500")</f>
        <v>0.0</v>
      </c>
      <c r="E1114" s="7" t="n">
        <f>HYPERLINK("https://www.somogyi.hu/data/img/product_main_images/small/16500.jpg","https://www.somogyi.hu/data/img/product_main_images/small/16500.jpg")</f>
        <v>0.0</v>
      </c>
      <c r="F1114" s="2" t="inlineStr">
        <is>
          <t>5999084945329</t>
        </is>
      </c>
      <c r="G1114" s="4" t="inlineStr">
        <is>
          <t>Varázsoljon ünnepi hangulatot otthonába az KDA 40 nevű akril rénszarvassal! 
Ez a csodálatos dekorációs elem ideális választás mind beltéri, mind kültéri használatra, hogy különlegessé tegye otthonát és ünnepi dekorációját. 
Az akril rénszarvas 200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40 nevű akril rénszarvassal, és teremtsen felejthetetlen emlékeket!</t>
        </is>
      </c>
    </row>
    <row r="1115">
      <c r="A1115" s="3" t="inlineStr">
        <is>
          <t>KDA 9</t>
        </is>
      </c>
      <c r="B1115" s="2" t="inlineStr">
        <is>
          <t>Home KDA 9 akril hóember, 80 LED, IP44, 3 darabos, kültéri, beltéri</t>
        </is>
      </c>
      <c r="C1115" s="1" t="n">
        <v>62490.0</v>
      </c>
      <c r="D1115" s="7" t="n">
        <f>HYPERLINK("https://www.somogyi.hu/product/home-kda-9-akril-hoember-80-led-ip44-3-darabos-kulteri-belteri-kda-9-16484","https://www.somogyi.hu/product/home-kda-9-akril-hoember-80-led-ip44-3-darabos-kulteri-belteri-kda-9-16484")</f>
        <v>0.0</v>
      </c>
      <c r="E1115" s="7" t="n">
        <f>HYPERLINK("https://www.somogyi.hu/data/img/product_main_images/small/16484.jpg","https://www.somogyi.hu/data/img/product_main_images/small/16484.jpg")</f>
        <v>0.0</v>
      </c>
      <c r="F1115" s="2" t="inlineStr">
        <is>
          <t>5999084945169</t>
        </is>
      </c>
      <c r="G1115" s="4" t="inlineStr">
        <is>
          <t>Hozza be az ünnepi hangulatot otthonába a KDA 9 nevű akril hóemberrel! 
Ez a varázslatos dekoráció boldogságot csempész a téli időszakba. A KDA 9 akril hóember 80 hidegfehér/melegfehér LED fényforrással van ellátva, melyek a figura minden részét átvilágítják. A hóember három darabból áll. 
A kültéri IP44-es hálózati adapterrel egyszerűen csatlakoztathatja a dekorációt az áramforráshoz, így gyönyörű fényei folyamatosan világíthatnak az ünnepi szezonban. 
Ne habozzon, tegye felejthetetlenné az ünnepeket az KDA 9 nevű akril hóemberrel!</t>
        </is>
      </c>
    </row>
    <row r="1116">
      <c r="A1116" s="3" t="inlineStr">
        <is>
          <t>KDA 30</t>
        </is>
      </c>
      <c r="B1116" s="2" t="inlineStr">
        <is>
          <t>Home KDA 30 akril rénszarvas, 50 db LED, IP44, kültéri, beltéri</t>
        </is>
      </c>
      <c r="C1116" s="1" t="n">
        <v>41190.0</v>
      </c>
      <c r="D1116" s="7" t="n">
        <f>HYPERLINK("https://www.somogyi.hu/product/home-kda-30-akril-renszarvas-50-db-led-ip44-kulteri-belteri-kda-30-16499","https://www.somogyi.hu/product/home-kda-30-akril-renszarvas-50-db-led-ip44-kulteri-belteri-kda-30-16499")</f>
        <v>0.0</v>
      </c>
      <c r="E1116" s="7" t="n">
        <f>HYPERLINK("https://www.somogyi.hu/data/img/product_main_images/small/16499.jpg","https://www.somogyi.hu/data/img/product_main_images/small/16499.jpg")</f>
        <v>0.0</v>
      </c>
      <c r="F1116" s="2" t="inlineStr">
        <is>
          <t>5999084945312</t>
        </is>
      </c>
      <c r="G1116" s="4" t="inlineStr">
        <is>
          <t>Varázsoljon ünnepi hangulatot otthonába az KDA 30 nevű akril rénszarvassal! 
Ez a csodálatos dekorációs elem ideális választás mind beltéri, mind kültéri használatra, hogy különlegessé tegye otthonát és ünnepi dekorációját. Az akril rénszarvas 50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30 nevű akril rénszarvassal, és teremtsen felejthetetlen emlékeket!</t>
        </is>
      </c>
    </row>
    <row r="1117">
      <c r="A1117" s="6" t="inlineStr">
        <is>
          <t xml:space="preserve">   Karácsonyi dekorációs világítás / Dekoráció</t>
        </is>
      </c>
      <c r="B1117" s="6" t="inlineStr">
        <is>
          <t/>
        </is>
      </c>
      <c r="C1117" s="6" t="inlineStr">
        <is>
          <t/>
        </is>
      </c>
      <c r="D1117" s="6" t="inlineStr">
        <is>
          <t/>
        </is>
      </c>
      <c r="E1117" s="6" t="inlineStr">
        <is>
          <t/>
        </is>
      </c>
      <c r="F1117" s="6" t="inlineStr">
        <is>
          <t/>
        </is>
      </c>
      <c r="G1117" s="6" t="inlineStr">
        <is>
          <t/>
        </is>
      </c>
    </row>
    <row r="1118">
      <c r="A1118" s="3" t="inlineStr">
        <is>
          <t>KLB 120/WH</t>
        </is>
      </c>
      <c r="B1118" s="2" t="inlineStr">
        <is>
          <t>Home KLB 120/WH világító ágak,  40 db LED, 120 cm ágak, fehér színű, ismétlődő időzítés, beltéri</t>
        </is>
      </c>
      <c r="C1118" s="1" t="n">
        <v>11790.0</v>
      </c>
      <c r="D1118" s="7" t="n">
        <f>HYPERLINK("https://www.somogyi.hu/product/home-klb-120-wh-vilagito-agak-40-db-led-120-cm-agak-feher-szinu-ismetlodo-idozites-belteri-klb-120-wh-17729","https://www.somogyi.hu/product/home-klb-120-wh-vilagito-agak-40-db-led-120-cm-agak-feher-szinu-ismetlodo-idozites-belteri-klb-120-wh-17729")</f>
        <v>0.0</v>
      </c>
      <c r="E1118" s="7" t="n">
        <f>HYPERLINK("https://www.somogyi.hu/data/img/product_main_images/small/17729.jpg","https://www.somogyi.hu/data/img/product_main_images/small/17729.jpg")</f>
        <v>0.0</v>
      </c>
      <c r="F1118" s="2" t="inlineStr">
        <is>
          <t>5999084957513</t>
        </is>
      </c>
      <c r="G1118" s="4" t="inlineStr">
        <is>
          <t>Varázsoljon egyedi hangulatot otthonába a KLB 120/WH világító ágaival! 
120 cm hosszú, elegáns fehér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120/WH világító ágakkal, és élvezze a meghitt fényeket minden pillanatban!</t>
        </is>
      </c>
    </row>
    <row r="1119">
      <c r="A1119" s="3" t="inlineStr">
        <is>
          <t>KID 23</t>
        </is>
      </c>
      <c r="B1119" s="2" t="inlineStr">
        <is>
          <t>Fa ablak-, ajtódísz, fenyő</t>
        </is>
      </c>
      <c r="C1119" s="1" t="n">
        <v>3190.0</v>
      </c>
      <c r="D1119" s="7" t="n">
        <f>HYPERLINK("https://www.somogyi.hu/product/fa-ablak-ajtodisz-fenyo-kid-23-16502","https://www.somogyi.hu/product/fa-ablak-ajtodisz-fenyo-kid-23-16502")</f>
        <v>0.0</v>
      </c>
      <c r="E1119" s="7" t="n">
        <f>HYPERLINK("https://www.somogyi.hu/data/img/product_main_images/small/16502.jpg","https://www.somogyi.hu/data/img/product_main_images/small/16502.jpg")</f>
        <v>0.0</v>
      </c>
      <c r="F1119" s="2" t="inlineStr">
        <is>
          <t>5999084945343</t>
        </is>
      </c>
      <c r="G1119" s="4" t="inlineStr">
        <is>
          <t>Fenyő alakú ablak-, ajtódísz fából – hogy már belépéskor ünnepi hangulat fogadja! A termék 23 cm magas, 8 db melegfehér LED-del világít, tápellátása 2 db 1,5 V (AAA) elemmel megoldott.</t>
        </is>
      </c>
    </row>
    <row r="1120">
      <c r="A1120" s="3" t="inlineStr">
        <is>
          <t>PLM 7/T</t>
        </is>
      </c>
      <c r="B1120" s="2" t="inlineStr">
        <is>
          <t>Home PLM 7/T LED-es asztali dísz, fenyő, 7 db LED, műanyag</t>
        </is>
      </c>
      <c r="C1120" s="1" t="n">
        <v>1690.0</v>
      </c>
      <c r="D1120" s="7" t="n">
        <f>HYPERLINK("https://www.somogyi.hu/product/home-plm-7-t-led-es-asztali-disz-fenyo-7-db-led-muanyag-plm-7-t-16006","https://www.somogyi.hu/product/home-plm-7-t-led-es-asztali-disz-fenyo-7-db-led-muanyag-plm-7-t-16006")</f>
        <v>0.0</v>
      </c>
      <c r="E1120" s="7" t="n">
        <f>HYPERLINK("https://www.somogyi.hu/data/img/product_main_images/small/16006.jpg","https://www.somogyi.hu/data/img/product_main_images/small/16006.jpg")</f>
        <v>0.0</v>
      </c>
      <c r="F1120" s="2" t="inlineStr">
        <is>
          <t>5999084940386</t>
        </is>
      </c>
      <c r="G1120" s="4" t="inlineStr">
        <is>
          <t xml:space="preserve"> • elhelyezhetőség: beltéri 
 • fényforrás: LED 
 • fényforrások száma: 7 db 
 • fényforrások színe: melegfehér 
 • méret: 20 x 22 x 3,5 cm 
 • tápellátás: 2 x AA (1,5 V) elem (nem tartozék 
 • egyéb: gömb alakú fényekkel</t>
        </is>
      </c>
    </row>
    <row r="1121">
      <c r="A1121" s="3" t="inlineStr">
        <is>
          <t>DRM 12</t>
        </is>
      </c>
      <c r="B1121" s="2" t="inlineStr">
        <is>
          <t>Home DRM 12 dioráma, nyitott könyv, színes LED, vlágító, zenélő, beltéri</t>
        </is>
      </c>
      <c r="C1121" s="1" t="n">
        <v>13690.0</v>
      </c>
      <c r="D1121" s="7" t="n">
        <f>HYPERLINK("https://www.somogyi.hu/product/home-drm-12-diorama-nyitott-konyv-szines-led-vlagito-zenelo-belteri-drm-12-16990","https://www.somogyi.hu/product/home-drm-12-diorama-nyitott-konyv-szines-led-vlagito-zenelo-belteri-drm-12-16990")</f>
        <v>0.0</v>
      </c>
      <c r="E1121" s="7" t="n">
        <f>HYPERLINK("https://www.somogyi.hu/data/img/product_main_images/small/16990.jpg","https://www.somogyi.hu/data/img/product_main_images/small/16990.jpg")</f>
        <v>0.0</v>
      </c>
      <c r="F1121" s="2" t="inlineStr">
        <is>
          <t>5999084950224</t>
        </is>
      </c>
      <c r="G1121" s="4" t="inlineStr">
        <is>
          <t>Képzelje el, hogy egy nyitott könyv lapjain karácsonyi csoda kel életre! A DRM 12 dioráma épp ilyen formában varázsol ünnepi hangulatot otthonába.
Ez a beltéri dísz színes LED világítással kelti életre a jelenetet, amelynek központjában egy forgó fenyőfa áll. 
A kísérő karácsonyi dallam hozzáad a hangulathoz, de ha egy csendesebb környezetet kíván, egyszerűen válthat néma üzemmódra. 
A dísz tápellátását 3 x 1,5 V (AA) elem biztosítja, amely nem része a készletnek.
Merüljön el a karácsony varázsában a DRM 12 dioráma segítségével!</t>
        </is>
      </c>
    </row>
    <row r="1122">
      <c r="A1122" s="3" t="inlineStr">
        <is>
          <t>KID 65</t>
        </is>
      </c>
      <c r="B1122" s="2" t="inlineStr">
        <is>
          <t>Home KID 65 hóember gömb, 1 db LED, piros, villogó</t>
        </is>
      </c>
      <c r="C1122" s="1" t="n">
        <v>1550.0</v>
      </c>
      <c r="D1122" s="7" t="n">
        <f>HYPERLINK("https://www.somogyi.hu/product/home-kid-65-hoember-gomb-1-db-led-piros-villogo-kid-65-16014","https://www.somogyi.hu/product/home-kid-65-hoember-gomb-1-db-led-piros-villogo-kid-65-16014")</f>
        <v>0.0</v>
      </c>
      <c r="E1122" s="7" t="n">
        <f>HYPERLINK("https://www.somogyi.hu/data/img/product_main_images/small/16014.jpg","https://www.somogyi.hu/data/img/product_main_images/small/16014.jpg")</f>
        <v>0.0</v>
      </c>
      <c r="F1122" s="2" t="inlineStr">
        <is>
          <t>5999084940461</t>
        </is>
      </c>
      <c r="G1122" s="4" t="inlineStr">
        <is>
          <t>Ön is szeretné feldíszíteni karácsonyfáját egyedi dísszel? Tekintse meg KID 65 LED-es hóember gömbünket, mely garantáltan magára vonja a figyelmet. A hóember orrában 1 db pirosan villogó LED található. A termék tápellátását 3x LR44 elem adja. Válassza a minőségi termékeket és rendeljen webáruházunkból.</t>
        </is>
      </c>
    </row>
    <row r="1123">
      <c r="A1123" s="3" t="inlineStr">
        <is>
          <t>MRL 22/T</t>
        </is>
      </c>
      <c r="B1123" s="2" t="inlineStr">
        <is>
          <t>Home MRL 22/T LED-es asztali tükördísz, 56 db LED, alagúthatású fények</t>
        </is>
      </c>
      <c r="C1123" s="1" t="n">
        <v>3090.0</v>
      </c>
      <c r="D1123" s="7" t="n">
        <f>HYPERLINK("https://www.somogyi.hu/product/home-mrl-22-t-led-es-asztali-tukordisz-56-db-led-alaguthatasu-fenyek-mrl-22-t-16034","https://www.somogyi.hu/product/home-mrl-22-t-led-es-asztali-tukordisz-56-db-led-alaguthatasu-fenyek-mrl-22-t-16034")</f>
        <v>0.0</v>
      </c>
      <c r="E1123" s="7" t="n">
        <f>HYPERLINK("https://www.somogyi.hu/data/img/product_main_images/small/16034.jpg","https://www.somogyi.hu/data/img/product_main_images/small/16034.jpg")</f>
        <v>0.0</v>
      </c>
      <c r="F1123" s="2" t="inlineStr">
        <is>
          <t>5999084940669</t>
        </is>
      </c>
      <c r="G1123" s="4" t="inlineStr">
        <is>
          <t xml:space="preserve"> • elhelyezhetőség: beltéri 
 • fényforrás: LED 
 • fényforrások száma: 56 db 
 • fényforrások színe: zöld 
 • méret: 22,5 x 22 x 5 cm 
 • tápellátás: 3 x AA (nem tartozék) 
 • egyéb: alagúthatású LED-fénnyel</t>
        </is>
      </c>
    </row>
    <row r="1124">
      <c r="A1124" s="3" t="inlineStr">
        <is>
          <t>MRLC 6/T</t>
        </is>
      </c>
      <c r="B1124" s="2" t="inlineStr">
        <is>
          <t>Home MRLC 6/T LED-es tükördísz fényfüzér, 1 m / 72 db hidegfehér LED, alagúthatású fenyődísszel, állófényű, átlátszó vezeték, elemes, beltéri kivitel</t>
        </is>
      </c>
      <c r="C1124" s="1" t="n">
        <v>2590.0</v>
      </c>
      <c r="D1124" s="7" t="n">
        <f>HYPERLINK("https://www.somogyi.hu/product/home-mrlc-6-t-led-es-tukordisz-fenyfuzer-1-m-72-db-hidegfeher-led-alaguthatasu-fenyodisszel-allofenyu-atlatszo-vezetek-elemes-belteri-kivitel-mrlc-6-t-16035","https://www.somogyi.hu/product/home-mrlc-6-t-led-es-tukordisz-fenyfuzer-1-m-72-db-hidegfeher-led-alaguthatasu-fenyodisszel-allofenyu-atlatszo-vezetek-elemes-belteri-kivitel-mrlc-6-t-16035")</f>
        <v>0.0</v>
      </c>
      <c r="E1124" s="7" t="n">
        <f>HYPERLINK("https://www.somogyi.hu/data/img/product_main_images/small/16035.jpg","https://www.somogyi.hu/data/img/product_main_images/small/16035.jpg")</f>
        <v>0.0</v>
      </c>
      <c r="F1124" s="2" t="inlineStr">
        <is>
          <t>5999084940676</t>
        </is>
      </c>
      <c r="G1124" s="4" t="inlineStr">
        <is>
          <t>Engedje, hogy az MRLC 6/T tükördísz fényfüzér új szintre emelje otthona hangulatát! 
Ez a különleges beltéri dekoráció alagúthatású LED-fényeffekttel rendelkezik mindkét oldalán, és hat zöld fenyődísszel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25">
      <c r="A1125" s="3" t="inlineStr">
        <is>
          <t>MRLC 6/S</t>
        </is>
      </c>
      <c r="B1125" s="2" t="inlineStr">
        <is>
          <t>Home MRLC 6/S LED-es tükördísz fényfüzér, 1 m / 72 db hidegfehér LED, alagúthatású csillagdísszel, állófényű, átlátszó vezeték, elemes, beltéri kivitel</t>
        </is>
      </c>
      <c r="C1125" s="1" t="n">
        <v>2590.0</v>
      </c>
      <c r="D1125" s="7" t="n">
        <f>HYPERLINK("https://www.somogyi.hu/product/home-mrlc-6-s-led-es-tukordisz-fenyfuzer-1-m-72-db-hidegfeher-led-alaguthatasu-csillagdisszel-allofenyu-atlatszo-vezetek-elemes-belteri-kivitel-mrlc-6-s-16036","https://www.somogyi.hu/product/home-mrlc-6-s-led-es-tukordisz-fenyfuzer-1-m-72-db-hidegfeher-led-alaguthatasu-csillagdisszel-allofenyu-atlatszo-vezetek-elemes-belteri-kivitel-mrlc-6-s-16036")</f>
        <v>0.0</v>
      </c>
      <c r="E1125" s="7" t="n">
        <f>HYPERLINK("https://www.somogyi.hu/data/img/product_main_images/small/16036.jpg","https://www.somogyi.hu/data/img/product_main_images/small/16036.jpg")</f>
        <v>0.0</v>
      </c>
      <c r="F1125" s="2" t="inlineStr">
        <is>
          <t>5999084940683</t>
        </is>
      </c>
      <c r="G1125" s="4" t="inlineStr">
        <is>
          <t>Engedje, hogy az MRLC 6/S tükördísz fényfüzér új szintre emelje otthona hangulatát! 
Ez a különleges beltéri dekoráció alagúthatású LED-fényeffekttel rendelkezik mindkét oldalán, és hat hidegfehér csillagdísszel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26">
      <c r="A1126" s="3" t="inlineStr">
        <is>
          <t>KDC 17</t>
        </is>
      </c>
      <c r="B1126" s="2" t="inlineStr">
        <is>
          <t>Home KDC 17 LED-es kerámia asztali dísz, rénszarvas, 4 db LED</t>
        </is>
      </c>
      <c r="C1126" s="1" t="n">
        <v>1850.0</v>
      </c>
      <c r="D1126" s="7" t="n">
        <f>HYPERLINK("https://www.somogyi.hu/product/home-kdc-17-led-es-keramia-asztali-disz-renszarvas-4-db-led-kdc-17-16043","https://www.somogyi.hu/product/home-kdc-17-led-es-keramia-asztali-disz-renszarvas-4-db-led-kdc-17-16043")</f>
        <v>0.0</v>
      </c>
      <c r="E1126" s="7" t="n">
        <f>HYPERLINK("https://www.somogyi.hu/data/img/product_main_images/small/16043.jpg","https://www.somogyi.hu/data/img/product_main_images/small/16043.jpg")</f>
        <v>0.0</v>
      </c>
      <c r="F1126" s="2" t="inlineStr">
        <is>
          <t>5999084940751</t>
        </is>
      </c>
      <c r="G1126" s="4" t="inlineStr">
        <is>
          <t>Ha Ön is szeretné feldíszíteni karácsonyi asztalát, válassza KDC 17 LED-es kerámia asztali díszünket, mely rénszarvast ábrázol. A testét 4 db világító LED gömb díszíti, melyek melegfehéren világítanak. Válassza a minőségi termékeket és rendeljen webáruházunkból!</t>
        </is>
      </c>
    </row>
    <row r="1127">
      <c r="A1127" s="3" t="inlineStr">
        <is>
          <t>KDC 15/T</t>
        </is>
      </c>
      <c r="B1127" s="2" t="inlineStr">
        <is>
          <t>Home KDC 15/T LED-es kerámia asztali dísz, fenyőfa, 5 db LED</t>
        </is>
      </c>
      <c r="C1127" s="1" t="n">
        <v>1450.0</v>
      </c>
      <c r="D1127" s="7" t="n">
        <f>HYPERLINK("https://www.somogyi.hu/product/home-kdc-15-t-led-es-keramia-asztali-disz-fenyofa-5-db-led-kdc-15-t-16045","https://www.somogyi.hu/product/home-kdc-15-t-led-es-keramia-asztali-disz-fenyofa-5-db-led-kdc-15-t-16045")</f>
        <v>0.0</v>
      </c>
      <c r="E1127" s="7" t="n">
        <f>HYPERLINK("https://www.somogyi.hu/data/img/product_main_images/small/16045.jpg","https://www.somogyi.hu/data/img/product_main_images/small/16045.jpg")</f>
        <v>0.0</v>
      </c>
      <c r="F1127" s="2" t="inlineStr">
        <is>
          <t>5999084940775</t>
        </is>
      </c>
      <c r="G1127" s="4" t="inlineStr">
        <is>
          <t xml:space="preserve"> • elhelyezhetőség: beltéri 
 • fényforrás: LED 
 • fényforrások száma: 5 db 
 • fényforrások színe: melegfehér 
 • méret: 9 x 15 x 5 cm 
 • tápellátás: 2 x LR44 gombelem (tartozék) 
 • egyéb: világító LED gömbökkel</t>
        </is>
      </c>
    </row>
    <row r="1128">
      <c r="A1128" s="3" t="inlineStr">
        <is>
          <t>DRM 8</t>
        </is>
      </c>
      <c r="B1128" s="2" t="inlineStr">
        <is>
          <t>Home DRM 8 dioráma, mikulás, vonat, LED, világító, zenélő, beltéri</t>
        </is>
      </c>
      <c r="C1128" s="1" t="n">
        <v>22890.0</v>
      </c>
      <c r="D1128" s="7" t="n">
        <f>HYPERLINK("https://www.somogyi.hu/product/home-drm-8-diorama-mikulas-vonat-led-vilagito-zenelo-belteri-drm-8-16056","https://www.somogyi.hu/product/home-drm-8-diorama-mikulas-vonat-led-vilagito-zenelo-belteri-drm-8-16056")</f>
        <v>0.0</v>
      </c>
      <c r="E1128" s="7" t="n">
        <f>HYPERLINK("https://www.somogyi.hu/data/img/product_main_images/small/16056.jpg","https://www.somogyi.hu/data/img/product_main_images/small/16056.jpg")</f>
        <v>0.0</v>
      </c>
      <c r="F1128" s="2" t="inlineStr">
        <is>
          <t>5999084940881</t>
        </is>
      </c>
      <c r="G1128" s="4" t="inlineStr">
        <is>
          <t>Azon gondolkozik hogyan tehetné még hangulatosabbá a karácsonyi ünnepeket? A DRM 8 gondoskodik erről! 
Ezt a beltéri kivitelű diorámát színes LED-ek és egy villogó fehér vaku teszi igazán lenyűgözővé. 
Mindeközben egy körbejáró kisvonat szeli át a tájat, ahol a fényképész a Mikulással és gyermekekkel foglalkozik. 
Lehetősége van választani egy kellemes karácsonyi dallam és a néma üzemmód között, amennyiben csendre vágyik. 
A tápellátást 3 x 1,5 V (AA) elem biztosítja, melyek nem részei a csomagnak, de játéktranszformátorral is üzemeltethető, amely szintén külön megvásárolandó.
Ne hagyja ki ezt a különleges karácsonyi díszt! Tegye az otthonát meghitté és varázslatossá a DRM 8-cal!</t>
        </is>
      </c>
    </row>
    <row r="1129">
      <c r="A1129" s="3" t="inlineStr">
        <is>
          <t>GLE 20/WW</t>
        </is>
      </c>
      <c r="B1129" s="2" t="inlineStr">
        <is>
          <t>Home GLE 20/WW, EVA gömb dekoráció, rugalmas alapanyag, 2 db LED, 20 cm átmérő</t>
        </is>
      </c>
      <c r="C1129" s="1" t="n">
        <v>7190.0</v>
      </c>
      <c r="D1129" s="7" t="n">
        <f>HYPERLINK("https://www.somogyi.hu/product/home-gle-20-ww-eva-gomb-dekoracio-rugalmas-alapanyag-2-db-led-20-cm-atmero-gle-20-ww-14730","https://www.somogyi.hu/product/home-gle-20-ww-eva-gomb-dekoracio-rugalmas-alapanyag-2-db-led-20-cm-atmero-gle-20-ww-14730")</f>
        <v>0.0</v>
      </c>
      <c r="E1129" s="7" t="n">
        <f>HYPERLINK("https://www.somogyi.hu/data/img/product_main_images/small/14730.jpg","https://www.somogyi.hu/data/img/product_main_images/small/14730.jpg")</f>
        <v>0.0</v>
      </c>
      <c r="F1129" s="2" t="inlineStr">
        <is>
          <t>5999084927721</t>
        </is>
      </c>
      <c r="G1129" s="4" t="inlineStr">
        <is>
          <t>Egy elegáns, de egyszerű dekorációt keres, amely otthonában vagy irodájában bármilyen alkalomra illik? A GLE 20/WW EVA gömb dekoráció kiváló választás lehet. 
A termék rugalmas EVA alapanyagból készült, amely tartósságot és sokoldalúságot biztosít. A 20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20/WW EVA gömb dekorációval! Rendelje meg most, és teremtsen kellemes atmoszférát dekorációjával!</t>
        </is>
      </c>
    </row>
    <row r="1130">
      <c r="A1130" s="3" t="inlineStr">
        <is>
          <t>GLE 15/WW</t>
        </is>
      </c>
      <c r="B1130" s="2" t="inlineStr">
        <is>
          <t>Home GLE 15/WW, EVA gömb dekoráció, rugalmas alapanyag, 2 db LED, 15 cm átmérő</t>
        </is>
      </c>
      <c r="C1130" s="1" t="n">
        <v>4590.0</v>
      </c>
      <c r="D1130" s="7" t="n">
        <f>HYPERLINK("https://www.somogyi.hu/product/home-gle-15-ww-eva-gomb-dekoracio-rugalmas-alapanyag-2-db-led-15-cm-atmero-gle-15-ww-14731","https://www.somogyi.hu/product/home-gle-15-ww-eva-gomb-dekoracio-rugalmas-alapanyag-2-db-led-15-cm-atmero-gle-15-ww-14731")</f>
        <v>0.0</v>
      </c>
      <c r="E1130" s="7" t="n">
        <f>HYPERLINK("https://www.somogyi.hu/data/img/product_main_images/small/14731.jpg","https://www.somogyi.hu/data/img/product_main_images/small/14731.jpg")</f>
        <v>0.0</v>
      </c>
      <c r="F1130" s="2" t="inlineStr">
        <is>
          <t>5999084927738</t>
        </is>
      </c>
      <c r="G1130" s="4" t="inlineStr">
        <is>
          <t>Egy elegáns, de egyszerű dekorációt keres, amely otthonában vagy irodájában bármilyen alkalomra illik? A GLE 15/WW EVA gömb dekoráció kiváló választás lehet. 
A termék rugalmas EVA alapanyagból készült, amely tartósságot és sokoldalúságot biztosít. A 15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15/WW EVA gömb dekorációval! Rendelje meg most, és teremtsen kellemes atmoszférát dekorációjával!</t>
        </is>
      </c>
    </row>
    <row r="1131">
      <c r="A1131" s="3" t="inlineStr">
        <is>
          <t>DECO 5</t>
        </is>
      </c>
      <c r="B1131" s="2" t="inlineStr">
        <is>
          <t>Home DECO 5 dekoráció szett, kocka alakú, 50 db, Ø5 mm-es LED-re, kül- és beltéri kivitel</t>
        </is>
      </c>
      <c r="C1131" s="1" t="n">
        <v>999.0</v>
      </c>
      <c r="D1131" s="7" t="n">
        <f>HYPERLINK("https://www.somogyi.hu/product/home-deco-5-dekoracio-szett-kocka-alaku-50-db-5-mm-es-led-re-kul-es-belteri-kivitel-deco-5-14850","https://www.somogyi.hu/product/home-deco-5-dekoracio-szett-kocka-alaku-50-db-5-mm-es-led-re-kul-es-belteri-kivitel-deco-5-14850")</f>
        <v>0.0</v>
      </c>
      <c r="E1131" s="7" t="n">
        <f>HYPERLINK("https://www.somogyi.hu/data/img/product_main_images/small/14850.jpg","https://www.somogyi.hu/data/img/product_main_images/small/14850.jpg")</f>
        <v>0.0</v>
      </c>
      <c r="F1131" s="2" t="inlineStr">
        <is>
          <t>5999084928872</t>
        </is>
      </c>
      <c r="G1131" s="4" t="inlineStr">
        <is>
          <t>Szeretné LED fényeit még különlegesebbé tenni? A DECO 5 dekorációs szett a válasz kreatív igényére!
Ezen exkluzív kocka design szett kifejezetten ∅5 mm-es LED-ekhez lett tervezve. Mi több, tökéletesen kompatibilis az alábbi sorozatokkal: KII 50 LED series, KII 100 LED series, KII 200 LED series, KKL 100 series, KKL 200 series, KKL 500 series, KKL 1000 series, LED 108 series és LED 208 series.
Növelje otthona vagy irodája stílusfaktorát és hozzon létre egyedi megjelenést LED világításaival és a DECO 5 dekorációs szettel. Mert a minőségi dekorációval minden LED a legjobb formáját mutatja!</t>
        </is>
      </c>
    </row>
    <row r="1132">
      <c r="A1132" s="3" t="inlineStr">
        <is>
          <t>KDC 53</t>
        </is>
      </c>
      <c r="B1132" s="2" t="inlineStr">
        <is>
          <t>Home KDC 53 LED-es kerámia figura, havas házikó, 12 db LED, 65 x 27 x 53 cm</t>
        </is>
      </c>
      <c r="C1132" s="1" t="n">
        <v>30490.0</v>
      </c>
      <c r="D1132" s="7" t="n">
        <f>HYPERLINK("https://www.somogyi.hu/product/home-kdc-53-led-es-keramia-figura-havas-haziko-12-db-led-65-x-27-x-53-cm-kdc-53-17375","https://www.somogyi.hu/product/home-kdc-53-led-es-keramia-figura-havas-haziko-12-db-led-65-x-27-x-53-cm-kdc-53-17375")</f>
        <v>0.0</v>
      </c>
      <c r="E1132" s="7" t="n">
        <f>HYPERLINK("https://www.somogyi.hu/data/img/product_main_images/small/17375.jpg","https://www.somogyi.hu/data/img/product_main_images/small/17375.jpg")</f>
        <v>0.0</v>
      </c>
      <c r="F1132" s="2" t="inlineStr">
        <is>
          <t>5999084953973</t>
        </is>
      </c>
      <c r="G1132" s="4" t="inlineStr">
        <is>
          <t>Hófedte tetők, csendes, békés esték... Egy havas házikó látványa mindenkit elvarázsol. A KDC 53-as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53 cm-es magasságának köszönhetően lakása túlsó végéből is tökéletes hangulatot teremt.
Ne habozzon, tegye még varázslatosabbá az otthonát ezzel a különleges kerámia házikóval!</t>
        </is>
      </c>
    </row>
    <row r="1133">
      <c r="A1133" s="3" t="inlineStr">
        <is>
          <t>KAD 19 PINE</t>
        </is>
      </c>
      <c r="B1133" s="2" t="inlineStr">
        <is>
          <t>Home KAD 19 PINE karácsonyfa asztaldísz, 20 db LED, ABS műanyag, 21 x 39 cm</t>
        </is>
      </c>
      <c r="C1133" s="1" t="n">
        <v>4590.0</v>
      </c>
      <c r="D1133" s="7" t="n">
        <f>HYPERLINK("https://www.somogyi.hu/product/home-kad-19-pine-karacsonyfa-asztaldisz-20-db-led-abs-muanyag-21-x-39-cm-kad-19-pine-14862","https://www.somogyi.hu/product/home-kad-19-pine-karacsonyfa-asztaldisz-20-db-led-abs-muanyag-21-x-39-cm-kad-19-pine-14862")</f>
        <v>0.0</v>
      </c>
      <c r="E1133" s="7" t="n">
        <f>HYPERLINK("https://www.somogyi.hu/data/img/product_main_images/small/14862.jpg","https://www.somogyi.hu/data/img/product_main_images/small/14862.jpg")</f>
        <v>0.0</v>
      </c>
      <c r="F1133" s="2" t="inlineStr">
        <is>
          <t>5999084928995</t>
        </is>
      </c>
      <c r="G1133" s="4" t="inlineStr">
        <is>
          <t>Szeretné az ünnepi asztalt valami igazán különlegessé varázsolni? A KAD 19 PINE LED-es karácsonyfa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19 PINE LED-es karácsonyfa asztaldísszel, és élvezze annak meleg, barátságos fényeit!</t>
        </is>
      </c>
    </row>
    <row r="1134">
      <c r="A1134" s="3" t="inlineStr">
        <is>
          <t>DD63504</t>
        </is>
      </c>
      <c r="B1134" s="2" t="inlineStr">
        <is>
          <t>Home DD 63504 lábtörlő mézeskaláccsal, kókuszrost anyag, 40 x 60 cm</t>
        </is>
      </c>
      <c r="C1134" s="1" t="n">
        <v>3290.0</v>
      </c>
      <c r="D1134" s="7" t="n">
        <f>HYPERLINK("https://www.somogyi.hu/product/home-dd-63504-labtorlo-mezeskalaccsal-kokuszrost-anyag-40-x-60-cm-dd63504-17930","https://www.somogyi.hu/product/home-dd-63504-labtorlo-mezeskalaccsal-kokuszrost-anyag-40-x-60-cm-dd63504-17930")</f>
        <v>0.0</v>
      </c>
      <c r="E1134" s="7" t="n">
        <f>HYPERLINK("https://www.somogyi.hu/data/img/product_main_images/small/17930.jpg","https://www.somogyi.hu/data/img/product_main_images/small/17930.jpg")</f>
        <v>0.0</v>
      </c>
      <c r="F1134" s="2" t="inlineStr">
        <is>
          <t>5996488635047</t>
        </is>
      </c>
      <c r="G1134" s="4" t="inlineStr">
        <is>
          <t xml:space="preserve"> • kókuszrost anyagból 
 • méret: 40 x 60 cm</t>
        </is>
      </c>
    </row>
    <row r="1135">
      <c r="A1135" s="3" t="inlineStr">
        <is>
          <t>KAD 20 STAR</t>
        </is>
      </c>
      <c r="B1135" s="2" t="inlineStr">
        <is>
          <t>Home KAD 20 STAR csillag asztaldísz, 20 db LED, ABS műanyag, 25 x 39 cm</t>
        </is>
      </c>
      <c r="C1135" s="1" t="n">
        <v>4590.0</v>
      </c>
      <c r="D1135" s="7" t="n">
        <f>HYPERLINK("https://www.somogyi.hu/product/home-kad-20-star-csillag-asztaldisz-20-db-led-abs-muanyag-25-x-39-cm-kad-20-star-14868","https://www.somogyi.hu/product/home-kad-20-star-csillag-asztaldisz-20-db-led-abs-muanyag-25-x-39-cm-kad-20-star-14868")</f>
        <v>0.0</v>
      </c>
      <c r="E1135" s="7" t="n">
        <f>HYPERLINK("https://www.somogyi.hu/data/img/product_main_images/small/14868.jpg","https://www.somogyi.hu/data/img/product_main_images/small/14868.jpg")</f>
        <v>0.0</v>
      </c>
      <c r="F1135" s="2" t="inlineStr">
        <is>
          <t>5999084929053</t>
        </is>
      </c>
      <c r="G1135" s="4" t="inlineStr">
        <is>
          <t>Szeretné az ünnepi asztalt valami igazán különlegessé varázsolni? A KAD 20 STAR LED-es csillag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20 STAR LED-es csillag asztaldísszel, és élvezze annak meleg, barátságos fényeit!</t>
        </is>
      </c>
    </row>
    <row r="1136">
      <c r="A1136" s="3" t="inlineStr">
        <is>
          <t>CDM 10</t>
        </is>
      </c>
      <c r="B1136" s="2" t="inlineStr">
        <is>
          <t>Akril dekoráció</t>
        </is>
      </c>
      <c r="C1136" s="1" t="n">
        <v>1690.0</v>
      </c>
      <c r="D1136" s="7" t="n">
        <f>HYPERLINK("https://www.somogyi.hu/product/akril-dekoracio-cdm-10-16032","https://www.somogyi.hu/product/akril-dekoracio-cdm-10-16032")</f>
        <v>0.0</v>
      </c>
      <c r="E1136" s="7" t="n">
        <f>HYPERLINK("https://www.somogyi.hu/data/img/product_main_images/small/16032.jpg","https://www.somogyi.hu/data/img/product_main_images/small/16032.jpg")</f>
        <v>0.0</v>
      </c>
      <c r="F1136" s="2" t="inlineStr">
        <is>
          <t>5999084940645</t>
        </is>
      </c>
      <c r="G1136" s="4" t="inlineStr">
        <is>
          <t>A CDM 10 LED-es akril ablakdísz segítségével már megalapozhatja a karácsonyi hangulatot. 2 db hidegfehér LED biztosítja a fényét, mely mozgó fényjátékával remek dísze lehet az ablaknak. A dekoráció átmérője: 12 cm. Válassza a minőségi termékeket és rendeljen webáruházunkból!</t>
        </is>
      </c>
    </row>
    <row r="1137">
      <c r="A1137" s="3" t="inlineStr">
        <is>
          <t>GLG 13/RD</t>
        </is>
      </c>
      <c r="B1137" s="2" t="inlineStr">
        <is>
          <t>LED-es figurás üveggömb, piros</t>
        </is>
      </c>
      <c r="C1137" s="1" t="n">
        <v>3190.0</v>
      </c>
      <c r="D1137" s="7" t="n">
        <f>HYPERLINK("https://www.somogyi.hu/product/led-es-figuras-uveggomb-piros-glg-13-rd-15609","https://www.somogyi.hu/product/led-es-figuras-uveggomb-piros-glg-13-rd-15609")</f>
        <v>0.0</v>
      </c>
      <c r="E1137" s="7" t="n">
        <f>HYPERLINK("https://www.somogyi.hu/data/img/product_main_images/small/15609.jpg","https://www.somogyi.hu/data/img/product_main_images/small/15609.jpg")</f>
        <v>0.0</v>
      </c>
      <c r="F1137" s="2" t="inlineStr">
        <is>
          <t>5999084936433</t>
        </is>
      </c>
      <c r="G1137" s="4" t="inlineStr">
        <is>
          <t>Sokaknak nagy kedvencei a karácsonyi üveggömbök. A GLG 13/RD egy hóember figurás dekoráció, amelynek világítását egy színváltós LED biztosítja. Az üveggömb átmérője: 13 cm. Válassza a minőségi termékeket és rendeljen webáruházunkból!</t>
        </is>
      </c>
    </row>
    <row r="1138">
      <c r="A1138" s="3" t="inlineStr">
        <is>
          <t>KID 66</t>
        </is>
      </c>
      <c r="B1138" s="2" t="inlineStr">
        <is>
          <t>Home KID 66 hóember gömb, 1 db LED, piros, villogó</t>
        </is>
      </c>
      <c r="C1138" s="1" t="n">
        <v>1550.0</v>
      </c>
      <c r="D1138" s="7" t="n">
        <f>HYPERLINK("https://www.somogyi.hu/product/home-kid-66-hoember-gomb-1-db-led-piros-villogo-kid-66-16015","https://www.somogyi.hu/product/home-kid-66-hoember-gomb-1-db-led-piros-villogo-kid-66-16015")</f>
        <v>0.0</v>
      </c>
      <c r="E1138" s="7" t="n">
        <f>HYPERLINK("https://www.somogyi.hu/data/img/product_main_images/small/16015.jpg","https://www.somogyi.hu/data/img/product_main_images/small/16015.jpg")</f>
        <v>0.0</v>
      </c>
      <c r="F1138" s="2" t="inlineStr">
        <is>
          <t>5999084940478</t>
        </is>
      </c>
      <c r="G1138" s="4" t="inlineStr">
        <is>
          <t>Ön is szeretné feldíszíteni karácsonyfáját egyedi dísszel? Tekintse meg KID 66 LED-es hóember gömbünket, mely garantáltan magára vonja a figyelmet. A hóember orrában 1 db pirosan villogó LED található. A termék tápellátását 3x LR44 elem adja. Válassza a minőségi termékeket és rendeljen webáruházunkból.</t>
        </is>
      </c>
    </row>
    <row r="1139">
      <c r="A1139" s="3" t="inlineStr">
        <is>
          <t>DECO 6</t>
        </is>
      </c>
      <c r="B1139" s="2" t="inlineStr">
        <is>
          <t>Dekoráció izzósorhoz, csillag, 50 db, Ø5 mm-es LED-re</t>
        </is>
      </c>
      <c r="C1139" s="1" t="n">
        <v>749.0</v>
      </c>
      <c r="D1139" s="7" t="n">
        <f>HYPERLINK("https://www.somogyi.hu/product/dekoracio-izzosorhoz-csillag-50-db-5-mm-es-led-re-deco-6-14851","https://www.somogyi.hu/product/dekoracio-izzosorhoz-csillag-50-db-5-mm-es-led-re-deco-6-14851")</f>
        <v>0.0</v>
      </c>
      <c r="E1139" s="7" t="n">
        <f>HYPERLINK("https://www.somogyi.hu/data/img/product_main_images/small/14851.jpg","https://www.somogyi.hu/data/img/product_main_images/small/14851.jpg")</f>
        <v>0.0</v>
      </c>
      <c r="F1139" s="2" t="inlineStr">
        <is>
          <t>5999084928889</t>
        </is>
      </c>
      <c r="G1139"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6-os egy csillag formájú dísz, amely 50 db-os kiszerelésben, 24 x 28 mm-es méretben kapható. Válassza a minőségi termékeket és rendeljen webáruházunkból.</t>
        </is>
      </c>
    </row>
    <row r="1140">
      <c r="A1140" s="3" t="inlineStr">
        <is>
          <t>DECO 2</t>
        </is>
      </c>
      <c r="B1140" s="2" t="inlineStr">
        <is>
          <t>Dekoráció izzósorhoz, gömb, 50 db, Ø5 mm-es LED-re</t>
        </is>
      </c>
      <c r="C1140" s="1" t="n">
        <v>529.0</v>
      </c>
      <c r="D1140" s="7" t="n">
        <f>HYPERLINK("https://www.somogyi.hu/product/dekoracio-izzosorhoz-gomb-50-db-5-mm-es-led-re-deco-2-14847","https://www.somogyi.hu/product/dekoracio-izzosorhoz-gomb-50-db-5-mm-es-led-re-deco-2-14847")</f>
        <v>0.0</v>
      </c>
      <c r="E1140" s="7" t="n">
        <f>HYPERLINK("https://www.somogyi.hu/data/img/product_main_images/small/14847.jpg","https://www.somogyi.hu/data/img/product_main_images/small/14847.jpg")</f>
        <v>0.0</v>
      </c>
      <c r="F1140" s="2" t="inlineStr">
        <is>
          <t>5999084928841</t>
        </is>
      </c>
      <c r="G1140"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2-es egy gömb formájú dísz, amely 50 db-os kiszerelésben, 12 mm-es méretben kapható. Válassza a minőségi termékeket és rendeljen webáruházunkból.</t>
        </is>
      </c>
    </row>
    <row r="1141">
      <c r="A1141" s="3" t="inlineStr">
        <is>
          <t>DECO 1</t>
        </is>
      </c>
      <c r="B1141" s="2" t="inlineStr">
        <is>
          <t>Dekoráció izzósorhoz, hópehely, 50 db, Ø5 mm-es LED-re</t>
        </is>
      </c>
      <c r="C1141" s="1" t="n">
        <v>1550.0</v>
      </c>
      <c r="D1141" s="7" t="n">
        <f>HYPERLINK("https://www.somogyi.hu/product/dekoracio-izzosorhoz-hopehely-50-db-5-mm-es-led-re-deco-1-14846","https://www.somogyi.hu/product/dekoracio-izzosorhoz-hopehely-50-db-5-mm-es-led-re-deco-1-14846")</f>
        <v>0.0</v>
      </c>
      <c r="E1141" s="7" t="n">
        <f>HYPERLINK("https://www.somogyi.hu/data/img/product_main_images/small/14846.jpg","https://www.somogyi.hu/data/img/product_main_images/small/14846.jpg")</f>
        <v>0.0</v>
      </c>
      <c r="F1141" s="2" t="inlineStr">
        <is>
          <t>5999084928834</t>
        </is>
      </c>
      <c r="G1141"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1-es egy hókristály formájú dísz, amely 50 db-os kiszerelésben, 45 mm-es méretben kapható. Válassza a minőségi termékeket és rendeljen webáruházunkból.</t>
        </is>
      </c>
    </row>
    <row r="1142">
      <c r="A1142" s="3" t="inlineStr">
        <is>
          <t>ROPE 1</t>
        </is>
      </c>
      <c r="B1142" s="2" t="inlineStr">
        <is>
          <t>Home ROPE 1 szarvas figura, borostyánszínű LED, fém váz, talpra hajtható, IP44, kültéri, beltéri</t>
        </is>
      </c>
      <c r="C1142" s="1" t="n">
        <v>43990.0</v>
      </c>
      <c r="D1142" s="7" t="n">
        <f>HYPERLINK("https://www.somogyi.hu/product/home-rope-1-szarvas-figura-borostyanszinu-led-fem-vaz-talpra-hajthato-ip44-kulteri-belteri-rope-1-17744","https://www.somogyi.hu/product/home-rope-1-szarvas-figura-borostyanszinu-led-fem-vaz-talpra-hajthato-ip44-kulteri-belteri-rope-1-17744")</f>
        <v>0.0</v>
      </c>
      <c r="E1142" s="7" t="n">
        <f>HYPERLINK("https://www.somogyi.hu/data/img/product_main_images/small/17744.jpg","https://www.somogyi.hu/data/img/product_main_images/small/17744.jpg")</f>
        <v>0.0</v>
      </c>
      <c r="F1142" s="2" t="inlineStr">
        <is>
          <t>5999084957667</t>
        </is>
      </c>
      <c r="G1142" s="4" t="inlineStr">
        <is>
          <t>Hogyan varázsolhatja el otthonát vagy kertjét egyedi fényekkel? 
A ROPE 1 LED-es 3D szarvas figura erre tökéletes megoldás. Ez az elegáns, borostyánszínű LED-es világító csövekből készült figura mindkét oldalon varázslatos fényekkel világítja meg környezetét, egyedi és meghitt hangulatot teremtve. 
A ROPE 1 szarvasfigura nemcsak gyönyörű, hanem praktikus is. Könnyen szétszedhető és lapra hajtható, így jól tárolható és szállítható. Fém vázának köszönhetően stabil és strapabíró, bátran kint hagyhatja kertjében is. Ez a LED-es világítás energiatakarékos, telepítése gyors és egyszerű. 
Kültéri IP44-es csatlakozódugóval és fekete gumivezetékkel rendelkezik, mely ellenáll az időjárás viszontagságainak. 
Rendelje meg most a ROPE 1 LED-es 3D szarvas figurát, és adja meg otthonának vagy kertjének a meghittséget!</t>
        </is>
      </c>
    </row>
    <row r="1143">
      <c r="A1143" s="3" t="inlineStr">
        <is>
          <t>NEON 4</t>
        </is>
      </c>
      <c r="B1143" s="2" t="inlineStr">
        <is>
          <t>Home NEON 4 szarvas figura, LED-es neon fény, két oldalú, fém váz, IP44, kültéri, beltéri, napsárga</t>
        </is>
      </c>
      <c r="C1143" s="1" t="n">
        <v>28990.0</v>
      </c>
      <c r="D1143" s="7" t="n">
        <f>HYPERLINK("https://www.somogyi.hu/product/home-neon-4-szarvas-figura-led-es-neon-feny-ket-oldalu-fem-vaz-ip44-kulteri-belteri-napsarga-neon-4-17743","https://www.somogyi.hu/product/home-neon-4-szarvas-figura-led-es-neon-feny-ket-oldalu-fem-vaz-ip44-kulteri-belteri-napsarga-neon-4-17743")</f>
        <v>0.0</v>
      </c>
      <c r="E1143" s="7" t="n">
        <f>HYPERLINK("https://www.somogyi.hu/data/img/product_main_images/small/17743.jpg","https://www.somogyi.hu/data/img/product_main_images/small/17743.jpg")</f>
        <v>0.0</v>
      </c>
      <c r="F1143" s="2" t="inlineStr">
        <is>
          <t>5999084957650</t>
        </is>
      </c>
      <c r="G1143" s="4" t="inlineStr">
        <is>
          <t>Egyedi fényvarázs az égen és otthonában - Ismerje meg a NEON 4 LED-es szarvas figurát! 
Mindenki szereti a Mikulás hűséges társait, a rénszarvasokat. Miért ne hozhatná el ezt a csodálatos látványt otthonába egy lenyűgöző LED-es figura segítségével? 
A NEON 4 napsárga fénye látványosan világít, ráadásul mindkét oldalán, így tökéletesen megmutatja szépségét, bárhonnan is nézzük. Legyen az belső tér vagy kültér, ez a figura bármilyen környezetben lenyűgöző látványt teremt. A fém váz és a kitámasztó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4 LED-es szarvas figurával! Alkosson varázslatos hangulatot, és teremtsen egy különleges atmoszférát, amely mindenkit lenyűgöz!</t>
        </is>
      </c>
    </row>
    <row r="1144">
      <c r="A1144" s="3" t="inlineStr">
        <is>
          <t>NEON 3</t>
        </is>
      </c>
      <c r="B1144" s="2" t="inlineStr">
        <is>
          <t>Home NEON 3 csillag figura, LED-es neon fény, villogó funkció, két oldalú, fém váz, IP44, kültéri, beltéri, jégkék, napsárga</t>
        </is>
      </c>
      <c r="C1144" s="1" t="n">
        <v>18290.0</v>
      </c>
      <c r="D1144" s="7" t="n">
        <f>HYPERLINK("https://www.somogyi.hu/product/home-neon-3-csillag-figura-led-es-neon-feny-villogo-funkcio-ket-oldalu-fem-vaz-ip44-kulteri-belteri-jegkek-napsarga-neon-3-17742","https://www.somogyi.hu/product/home-neon-3-csillag-figura-led-es-neon-feny-villogo-funkcio-ket-oldalu-fem-vaz-ip44-kulteri-belteri-jegkek-napsarga-neon-3-17742")</f>
        <v>0.0</v>
      </c>
      <c r="E1144" s="7" t="n">
        <f>HYPERLINK("https://www.somogyi.hu/data/img/product_main_images/small/17742.jpg","https://www.somogyi.hu/data/img/product_main_images/small/17742.jpg")</f>
        <v>0.0</v>
      </c>
      <c r="F1144" s="2" t="inlineStr">
        <is>
          <t>5999084957643</t>
        </is>
      </c>
      <c r="G1144" s="4" t="inlineStr">
        <is>
          <t>Egyedi fényvarázs az égen és otthonában - Ismerje meg a NEON 3 LED-es csillag figurát! 
Mindenki szereti a csillagok ragyogását az éjszakai égen. Miért ne hozhatná el ezt a csodálatos látványt otthonába egy lenyűgöző LED-es figura segítségével? 
A NEON 3 jégkék és napsárga fénye látványosan világít vagy akár villog,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3 LED-es csillag figurával! Alkosson varázslatos hangulatot, és teremtsen egy különleges atmoszférát, amely mindenkit lenyűgöz!</t>
        </is>
      </c>
    </row>
    <row r="1145">
      <c r="A1145" s="3" t="inlineStr">
        <is>
          <t>NEON 2</t>
        </is>
      </c>
      <c r="B1145" s="2" t="inlineStr">
        <is>
          <t>Home NEON 2 hókristály figura, LED-es neon fény, két oldalú, fém váz, IP44, kültéri, beltéri, jégkék</t>
        </is>
      </c>
      <c r="C1145" s="1" t="n">
        <v>22890.0</v>
      </c>
      <c r="D1145" s="7" t="n">
        <f>HYPERLINK("https://www.somogyi.hu/product/home-neon-2-hokristaly-figura-led-es-neon-feny-ket-oldalu-fem-vaz-ip44-kulteri-belteri-jegkek-neon-2-17741","https://www.somogyi.hu/product/home-neon-2-hokristaly-figura-led-es-neon-feny-ket-oldalu-fem-vaz-ip44-kulteri-belteri-jegkek-neon-2-17741")</f>
        <v>0.0</v>
      </c>
      <c r="E1145" s="7" t="n">
        <f>HYPERLINK("https://www.somogyi.hu/data/img/product_main_images/small/17741.jpg","https://www.somogyi.hu/data/img/product_main_images/small/17741.jpg")</f>
        <v>0.0</v>
      </c>
      <c r="F1145" s="2" t="inlineStr">
        <is>
          <t>5999084957636</t>
        </is>
      </c>
      <c r="G1145" s="4" t="inlineStr">
        <is>
          <t>Egyedi fényvarázs az égen és otthonában - Ismerje meg a NEON 2 LED-es hókristály figurát! 
Mindenki szereti a hópelyhek ragyogó csillogását, ahogy a nap átsüt rajtuk mikor a földre hullanak. Miért ne hozhatná el ezt a csodálatos látványt otthonába egy lenyűgöző LED-es figura segítségével? 
A NEON 2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2 LED-es hókristály Figurával! Alkosson varázslatos hangulatot, és teremtsen egy különleges atmoszférát, amely mindenkit lenyűgöz!</t>
        </is>
      </c>
    </row>
    <row r="1146">
      <c r="A1146" s="3" t="inlineStr">
        <is>
          <t>NEON 1</t>
        </is>
      </c>
      <c r="B1146" s="2" t="inlineStr">
        <is>
          <t>Home NEON 1 hullócsillag figura, LED-es neon fény, két oldalú, fém váz, IP44, kültéri, beltéri, jégkék</t>
        </is>
      </c>
      <c r="C1146" s="1" t="n">
        <v>13390.0</v>
      </c>
      <c r="D1146" s="7" t="n">
        <f>HYPERLINK("https://www.somogyi.hu/product/home-neon-1-hullocsillag-figura-led-es-neon-feny-ket-oldalu-fem-vaz-ip44-kulteri-belteri-jegkek-neon-1-17740","https://www.somogyi.hu/product/home-neon-1-hullocsillag-figura-led-es-neon-feny-ket-oldalu-fem-vaz-ip44-kulteri-belteri-jegkek-neon-1-17740")</f>
        <v>0.0</v>
      </c>
      <c r="E1146" s="7" t="n">
        <f>HYPERLINK("https://www.somogyi.hu/data/img/product_main_images/small/17740.jpg","https://www.somogyi.hu/data/img/product_main_images/small/17740.jpg")</f>
        <v>0.0</v>
      </c>
      <c r="F1146" s="2" t="inlineStr">
        <is>
          <t>5999084957629</t>
        </is>
      </c>
      <c r="G1146" s="4" t="inlineStr">
        <is>
          <t>Egyedi fényvarázs az égen és otthonában - Ismerje meg a NEON 1 LED-es hullócsillag figurát! 
Mindenki szereti a csillagok ragyogását az éjszakai égen. Miért ne hozhatná el ezt a csodálatos látványt otthonába egy lenyűgöző LED-es figura segítségével? 
A NEON 1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1 LED-es hullócsillag figurával! Alkosson varázslatos hangulatot, és teremtsen egy különleges atmoszférát, amely mindenkit lenyűgöz!</t>
        </is>
      </c>
    </row>
    <row r="1147">
      <c r="A1147" s="3" t="inlineStr">
        <is>
          <t>KLB 120/SL</t>
        </is>
      </c>
      <c r="B1147" s="2" t="inlineStr">
        <is>
          <t>Home KLB 120/SL világító ágak, 40 db LED, 120 cm ágak, ezüst színű, ismétlődő időzítés, beltéri</t>
        </is>
      </c>
      <c r="C1147" s="1" t="n">
        <v>11790.0</v>
      </c>
      <c r="D1147" s="7" t="n">
        <f>HYPERLINK("https://www.somogyi.hu/product/home-klb-120-sl-vilagito-agak-40-db-led-120-cm-agak-ezust-szinu-ismetlodo-idozites-belteri-klb-120-sl-17728","https://www.somogyi.hu/product/home-klb-120-sl-vilagito-agak-40-db-led-120-cm-agak-ezust-szinu-ismetlodo-idozites-belteri-klb-120-sl-17728")</f>
        <v>0.0</v>
      </c>
      <c r="E1147" s="7" t="n">
        <f>HYPERLINK("https://www.somogyi.hu/data/img/product_main_images/small/17728.jpg","https://www.somogyi.hu/data/img/product_main_images/small/17728.jpg")</f>
        <v>0.0</v>
      </c>
      <c r="F1147" s="2" t="inlineStr">
        <is>
          <t>5999084957506</t>
        </is>
      </c>
      <c r="G1147" s="4" t="inlineStr">
        <is>
          <t>Varázsoljon egyedi hangulatot otthonába a KLB 120/SL világító ágaival! 
120 cm hosszú, elegáns ezüst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120/SL világító ágakkal, és élvezze a meghitt fényeket minden pillanatban!</t>
        </is>
      </c>
    </row>
    <row r="1148">
      <c r="A1148" s="3" t="inlineStr">
        <is>
          <t>KAD 27</t>
        </is>
      </c>
      <c r="B1148" s="2" t="inlineStr">
        <is>
          <t>Home KAD 27 fa asztaldísz, csillag, LED neon-light szalag, melegfehér</t>
        </is>
      </c>
      <c r="C1148" s="1" t="n">
        <v>2890.0</v>
      </c>
      <c r="D1148" s="7" t="n">
        <f>HYPERLINK("https://www.somogyi.hu/product/home-kad-27-fa-asztaldisz-csillag-led-neon-light-szalag-melegfeher-kad-27-16503","https://www.somogyi.hu/product/home-kad-27-fa-asztaldisz-csillag-led-neon-light-szalag-melegfeher-kad-27-16503")</f>
        <v>0.0</v>
      </c>
      <c r="E1148" s="7" t="n">
        <f>HYPERLINK("https://www.somogyi.hu/data/img/product_main_images/small/16503.jpg","https://www.somogyi.hu/data/img/product_main_images/small/16503.jpg")</f>
        <v>0.0</v>
      </c>
      <c r="F1148" s="2" t="inlineStr">
        <is>
          <t>5999084945350</t>
        </is>
      </c>
      <c r="G1148" s="4" t="inlineStr">
        <is>
          <t>Szeretne egy kis melegséget csempészni otthonába a hideg téli napokon? A KAD 27 csillag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27 fa asztaldísszel! Rendelje meg most, és élvezze a kellemes melegfehér fényt, amit ez a csodás csillag alakú asztaldísz nyújt!</t>
        </is>
      </c>
    </row>
    <row r="1149">
      <c r="A1149" s="3" t="inlineStr">
        <is>
          <t>KAD 28</t>
        </is>
      </c>
      <c r="B1149" s="2" t="inlineStr">
        <is>
          <t>Home KAD 28 fa asztaldísz, fenyő, LED neon-light szalag, melegfehér</t>
        </is>
      </c>
      <c r="C1149" s="1" t="n">
        <v>3190.0</v>
      </c>
      <c r="D1149" s="7" t="n">
        <f>HYPERLINK("https://www.somogyi.hu/product/home-kad-28-fa-asztaldisz-fenyo-led-neon-light-szalag-melegfeher-kad-28-16504","https://www.somogyi.hu/product/home-kad-28-fa-asztaldisz-fenyo-led-neon-light-szalag-melegfeher-kad-28-16504")</f>
        <v>0.0</v>
      </c>
      <c r="E1149" s="7" t="n">
        <f>HYPERLINK("https://www.somogyi.hu/data/img/product_main_images/small/16504.jpg","https://www.somogyi.hu/data/img/product_main_images/small/16504.jpg")</f>
        <v>0.0</v>
      </c>
      <c r="F1149" s="2" t="inlineStr">
        <is>
          <t>5999084945367</t>
        </is>
      </c>
      <c r="G1149" s="4" t="inlineStr">
        <is>
          <t>Szeretne egy kis melegséget csempészni otthonába a hideg téli napokon? A KAD 28 fenyő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28 fa asztaldísszel! Rendelje meg most, és élvezze a kellemes melegfehér fényt, amit ez a csodás fenyő alakú asztaldísz nyújt!</t>
        </is>
      </c>
    </row>
    <row r="1150">
      <c r="A1150" s="3" t="inlineStr">
        <is>
          <t>KAD 34</t>
        </is>
      </c>
      <c r="B1150" s="2" t="inlineStr">
        <is>
          <t>Home KAD 34 optikai szálas asztali dísz, festett fa hóember, színes fénypontok</t>
        </is>
      </c>
      <c r="C1150" s="1" t="n">
        <v>13290.0</v>
      </c>
      <c r="D1150" s="7" t="n">
        <f>HYPERLINK("https://www.somogyi.hu/product/home-kad-34-optikai-szalas-asztali-disz-festett-fa-hoember-szines-fenypontok-kad-34-16507","https://www.somogyi.hu/product/home-kad-34-optikai-szalas-asztali-disz-festett-fa-hoember-szines-fenypontok-kad-34-16507")</f>
        <v>0.0</v>
      </c>
      <c r="E1150" s="7" t="n">
        <f>HYPERLINK("https://www.somogyi.hu/data/img/product_main_images/small/16507.jpg","https://www.somogyi.hu/data/img/product_main_images/small/16507.jpg")</f>
        <v>0.0</v>
      </c>
      <c r="F1150" s="2" t="inlineStr">
        <is>
          <t>5999084945398</t>
        </is>
      </c>
      <c r="G1150" s="4" t="inlineStr">
        <is>
          <t>Egy igazán egyedi és vidám díszt keres az ünnepi asztalra? A KAD 34 optikai szálas asztali dísz tökéletes választás minden otthonba! A dísz egy kedves hóember figurát ábrázol, amely egy festett fa dekoráció és színes, villogó fénypontok díszítik, amelyek garantáltan feldobják a karácsonyi hangulatot.
A dísz kihajtható lábbal rendelkezik, így könnyedén kitámasztható asztalon vagy polcon. A tápellátásról 2 x 1,5 V (AA) elem gondoskodik, amelyeket külön kell megvásárolnia, mivel azok nem tartozékai a terméknek.
Varázsoljon vidám hangulatot otthonába a KAD 34 optikai szálas asztali dísszel! Rendelje meg még ma, és készüljön fel a vidám ünnepi pillanatokra!</t>
        </is>
      </c>
    </row>
    <row r="1151">
      <c r="A1151" s="3" t="inlineStr">
        <is>
          <t>KAD 35</t>
        </is>
      </c>
      <c r="B1151" s="2" t="inlineStr">
        <is>
          <t>Home KAD 35 optikai szálas asztali dísz, festett fa, fehér fenyő, színes fénypontok</t>
        </is>
      </c>
      <c r="C1151" s="1" t="n">
        <v>10990.0</v>
      </c>
      <c r="D1151" s="7" t="n">
        <f>HYPERLINK("https://www.somogyi.hu/product/home-kad-35-optikai-szalas-asztali-disz-festett-fa-feher-fenyo-szines-fenypontok-kad-35-16508","https://www.somogyi.hu/product/home-kad-35-optikai-szalas-asztali-disz-festett-fa-feher-fenyo-szines-fenypontok-kad-35-16508")</f>
        <v>0.0</v>
      </c>
      <c r="E1151" s="7" t="n">
        <f>HYPERLINK("https://www.somogyi.hu/data/img/product_main_images/small/16508.jpg","https://www.somogyi.hu/data/img/product_main_images/small/16508.jpg")</f>
        <v>0.0</v>
      </c>
      <c r="F1151" s="2" t="inlineStr">
        <is>
          <t>5999084945404</t>
        </is>
      </c>
      <c r="G1151" s="4" t="inlineStr">
        <is>
          <t>Egy igazán egyedi és vidám díszt keres az ünnepi asztalra? A KAD 35 optikai szálas asztali dísz tökéletes választás minden otthonba!
A dísz egy kedves hóember figurát ábrázol egy fehér fenyőfában, és színes, villogó fénypontok díszítik, amelyek garantáltan feldobják a karácsonyi hangulatot. A tápellátásról 2 x 1,5 V (AA) elem gondoskodik, amelyeket külön kell megvásárolnia, mivel azok nem tartozékai a terméknek.
Varázsoljon vidám hangulatot otthonába a KAD 35 optikai szálas asztali dísszel! Rendelje meg még ma, és készüljön fel a vidám ünnepi pillanatokra!</t>
        </is>
      </c>
    </row>
    <row r="1152">
      <c r="A1152" s="3" t="inlineStr">
        <is>
          <t>KID 24</t>
        </is>
      </c>
      <c r="B1152" s="2" t="inlineStr">
        <is>
          <t xml:space="preserve">Home KID 24 ajtódísz, optikai szálak, fenyőfa, festett dekoráció </t>
        </is>
      </c>
      <c r="C1152" s="1" t="n">
        <v>11890.0</v>
      </c>
      <c r="D1152" s="7" t="n">
        <f>HYPERLINK("https://www.somogyi.hu/product/home-kid-24-ajtodisz-optikai-szalak-fenyofa-festett-dekoracio-kid-24-16509","https://www.somogyi.hu/product/home-kid-24-ajtodisz-optikai-szalak-fenyofa-festett-dekoracio-kid-24-16509")</f>
        <v>0.0</v>
      </c>
      <c r="E1152" s="7" t="n">
        <f>HYPERLINK("https://www.somogyi.hu/data/img/product_main_images/small/16509.jpg","https://www.somogyi.hu/data/img/product_main_images/small/16509.jpg")</f>
        <v>0.0</v>
      </c>
      <c r="F1152" s="2" t="inlineStr">
        <is>
          <t>5999084945411</t>
        </is>
      </c>
      <c r="G1152" s="4" t="inlineStr">
        <is>
          <t>Szeretne egy karácsonyi hangulatot árasztó dekorációt, amely nem csak nappal, de éjszaka is elvarázsolja otthonát? A KID 24 optikai szálas fenyő tökéletes választás!
Ez a festett fa dekoráció színes, villogó fénypontokkal van díszítve, és azonnal ünnepi hangulatot teremt bárhol, ahol elhelyezi. A felakasztható kivitelnek köszönhetően egyszerűen elhelyezhető az ablakban, a falon vagy az ajtón. A tápellátás 2 x 1,5 V (AA) elemmel biztosított, amelyek nem tartoznak a csomaghoz.
Díszítse otthonát a KID 24 fenyővel, ami mindenkit megörvendeztet! Adjon egy kis plusz ragyogást az ünnepi időszakhoz még ma!</t>
        </is>
      </c>
    </row>
    <row r="1153">
      <c r="A1153" s="3" t="inlineStr">
        <is>
          <t>KDD 54</t>
        </is>
      </c>
      <c r="B1153" s="2" t="inlineStr">
        <is>
          <t>Home KDD 54 manó dekoráció, 3 db villogó LED, szövet, plüss</t>
        </is>
      </c>
      <c r="C1153" s="1" t="n">
        <v>7990.0</v>
      </c>
      <c r="D1153" s="7" t="n">
        <f>HYPERLINK("https://www.somogyi.hu/product/home-kdd-54-mano-dekoracio-3-db-villogo-led-szovet-pluss-kdd-54-16557","https://www.somogyi.hu/product/home-kdd-54-mano-dekoracio-3-db-villogo-led-szovet-pluss-kdd-54-16557")</f>
        <v>0.0</v>
      </c>
      <c r="E1153" s="7" t="n">
        <f>HYPERLINK("https://www.somogyi.hu/data/img/product_main_images/small/16557.jpg","https://www.somogyi.hu/data/img/product_main_images/small/16557.jpg")</f>
        <v>0.0</v>
      </c>
      <c r="F1153" s="2" t="inlineStr">
        <is>
          <t>5999084945893</t>
        </is>
      </c>
      <c r="G1153" s="4" t="inlineStr">
        <is>
          <t>A Mikulás főállású segítői idén az Ön otthonába is beköltöznek, ha még nem tették volna! Pár éve menő a manó, sapkás barátaink garantáltan vidámságot csempésznek az ünnepekbe! KDD 54-es manónk szürke fejfedője akkora, hogy épp csak az orra hegye és hosszú ezüst szakálla látszik ki alóla! Manónk 54 cm magas, így garantáltan nem veszik el a lakás többi dísze között!</t>
        </is>
      </c>
    </row>
    <row r="1154">
      <c r="A1154" s="3" t="inlineStr">
        <is>
          <t>KDD 41</t>
        </is>
      </c>
      <c r="B1154" s="2" t="inlineStr">
        <is>
          <t>Home KDD 41 manó dekoráció, 3 db villogó LED, szövet, plüss</t>
        </is>
      </c>
      <c r="C1154" s="1" t="n">
        <v>6090.0</v>
      </c>
      <c r="D1154" s="7" t="n">
        <f>HYPERLINK("https://www.somogyi.hu/product/home-kdd-41-mano-dekoracio-3-db-villogo-led-szovet-pluss-kdd-41-16558","https://www.somogyi.hu/product/home-kdd-41-mano-dekoracio-3-db-villogo-led-szovet-pluss-kdd-41-16558")</f>
        <v>0.0</v>
      </c>
      <c r="E1154" s="7" t="n">
        <f>HYPERLINK("https://www.somogyi.hu/data/img/product_main_images/small/16558.jpg","https://www.somogyi.hu/data/img/product_main_images/small/16558.jpg")</f>
        <v>0.0</v>
      </c>
      <c r="F1154" s="2" t="inlineStr">
        <is>
          <t>5999084945909</t>
        </is>
      </c>
      <c r="G1154" s="4" t="inlineStr">
        <is>
          <t>A Mikulás főállású segítői idén az Ön otthonába is beköltöznek, ha még nem tették volna! Pár éve menő a manó, sapkás barátaink garantáltan vidámságot csempésznek az ünnepekbe! KDD 41-es manónk piros fejfedője akkora, hogy épp csak az orra hegye és hosszú ezüst szakálla látszik ki alóla! Manónk 41 cm magasságával még a fa alatt is elbújhat!</t>
        </is>
      </c>
    </row>
    <row r="1155">
      <c r="A1155" s="3" t="inlineStr">
        <is>
          <t>KDC 13</t>
        </is>
      </c>
      <c r="B1155" s="2" t="inlineStr">
        <is>
          <t>Home KDC 13 LED-es kerámia figura, angyal, 1 db LED, fenyőfa</t>
        </is>
      </c>
      <c r="C1155" s="1" t="n">
        <v>3690.0</v>
      </c>
      <c r="D1155" s="7" t="n">
        <f>HYPERLINK("https://www.somogyi.hu/product/home-kdc-13-led-es-keramia-figura-angyal-1-db-led-fenyofa-kdc-13-16560","https://www.somogyi.hu/product/home-kdc-13-led-es-keramia-figura-angyal-1-db-led-fenyofa-kdc-13-16560")</f>
        <v>0.0</v>
      </c>
      <c r="E1155" s="7" t="n">
        <f>HYPERLINK("https://www.somogyi.hu/data/img/product_main_images/small/16560.jpg","https://www.somogyi.hu/data/img/product_main_images/small/16560.jpg")</f>
        <v>0.0</v>
      </c>
      <c r="F1155" s="2" t="inlineStr">
        <is>
          <t>5999084945923</t>
        </is>
      </c>
      <c r="G1155" s="4" t="inlineStr">
        <is>
          <t>LED-es kerámia angyal figura melegfehéren világító fenyővel. A termék 2 db 1,5 V elemmel működik, ami tartozék.</t>
        </is>
      </c>
    </row>
    <row r="1156">
      <c r="A1156" s="3" t="inlineStr">
        <is>
          <t>KDC 49</t>
        </is>
      </c>
      <c r="B1156" s="2" t="inlineStr">
        <is>
          <t>LED-es kerámia figura, WELCOME</t>
        </is>
      </c>
      <c r="C1156" s="1" t="n">
        <v>25790.0</v>
      </c>
      <c r="D1156" s="7" t="n">
        <f>HYPERLINK("https://www.somogyi.hu/product/led-es-keramia-figura-welcome-kdc-49-16563","https://www.somogyi.hu/product/led-es-keramia-figura-welcome-kdc-49-16563")</f>
        <v>0.0</v>
      </c>
      <c r="E1156" s="7" t="n">
        <f>HYPERLINK("https://www.somogyi.hu/data/img/product_main_images/small/16563.jpg","https://www.somogyi.hu/data/img/product_main_images/small/16563.jpg")</f>
        <v>0.0</v>
      </c>
      <c r="F1156" s="2" t="inlineStr">
        <is>
          <t>5999084945954</t>
        </is>
      </c>
      <c r="G1156" s="4" t="inlineStr">
        <is>
          <t xml:space="preserve"> • elhelyezhetőség: beltéri 
 • fényforrás: LED 
 • fényforrások száma: 4 db 
 • fényforrások színe: színváltó 
 • funkciók: be/ki kapcsolható karácsonyi zene 
 • méret: 45 x 49 x 20 cm 
 • tápellátás: 3 x 1,5 V (AA) elem, nem tartozék</t>
        </is>
      </c>
    </row>
    <row r="1157">
      <c r="A1157" s="3" t="inlineStr">
        <is>
          <t>KDCA 11</t>
        </is>
      </c>
      <c r="B1157" s="2" t="inlineStr">
        <is>
          <t>LED-es kerámia figura</t>
        </is>
      </c>
      <c r="C1157" s="1" t="n">
        <v>3190.0</v>
      </c>
      <c r="D1157" s="7" t="n">
        <f>HYPERLINK("https://www.somogyi.hu/product/led-es-keramia-figura-kdca-11-16565","https://www.somogyi.hu/product/led-es-keramia-figura-kdca-11-16565")</f>
        <v>0.0</v>
      </c>
      <c r="E1157" s="7" t="n">
        <f>HYPERLINK("https://www.somogyi.hu/data/img/product_main_images/small/16565.jpg","https://www.somogyi.hu/data/img/product_main_images/small/16565.jpg")</f>
        <v>0.0</v>
      </c>
      <c r="F1157" s="2" t="inlineStr">
        <is>
          <t>5999084945978</t>
        </is>
      </c>
      <c r="G1157" s="4" t="inlineStr">
        <is>
          <t>LED-es kerámia autó figura melegfehéren világító fenyővel (7 + 2 db LED). A termék 2 db 1,5 V elemmel működik.</t>
        </is>
      </c>
    </row>
    <row r="1158">
      <c r="A1158" s="3" t="inlineStr">
        <is>
          <t>KDCA 15</t>
        </is>
      </c>
      <c r="B1158" s="2" t="inlineStr">
        <is>
          <t>Home KDCA 15 LED-es kerámia figura, fehér autó fenyővel, 11 db LED</t>
        </is>
      </c>
      <c r="C1158" s="1" t="n">
        <v>5190.0</v>
      </c>
      <c r="D1158" s="7" t="n">
        <f>HYPERLINK("https://www.somogyi.hu/product/home-kdca-15-led-es-keramia-figura-feher-auto-fenyovel-11-db-led-kdca-15-16566","https://www.somogyi.hu/product/home-kdca-15-led-es-keramia-figura-feher-auto-fenyovel-11-db-led-kdca-15-16566")</f>
        <v>0.0</v>
      </c>
      <c r="E1158" s="7" t="n">
        <f>HYPERLINK("https://www.somogyi.hu/data/img/product_main_images/small/16566.jpg","https://www.somogyi.hu/data/img/product_main_images/small/16566.jpg")</f>
        <v>0.0</v>
      </c>
      <c r="F1158" s="2" t="inlineStr">
        <is>
          <t>5999084945985</t>
        </is>
      </c>
      <c r="G1158" s="4" t="inlineStr">
        <is>
          <t>LED-es kerámia autó figura melegfehéren világító fenyővel (9 + 2 db LED). A termék 2 db 1,5 V elemmel működik.</t>
        </is>
      </c>
    </row>
    <row r="1159">
      <c r="A1159" s="3" t="inlineStr">
        <is>
          <t>KDCA 21</t>
        </is>
      </c>
      <c r="B1159" s="2" t="inlineStr">
        <is>
          <t>Home KDCA 21 LED-es kerámia figura, piros mozdony fenyővel, 10 db LED</t>
        </is>
      </c>
      <c r="C1159" s="1" t="n">
        <v>5190.0</v>
      </c>
      <c r="D1159" s="7" t="n">
        <f>HYPERLINK("https://www.somogyi.hu/product/home-kdca-21-led-es-keramia-figura-piros-mozdony-fenyovel-10-db-led-kdca-21-16567","https://www.somogyi.hu/product/home-kdca-21-led-es-keramia-figura-piros-mozdony-fenyovel-10-db-led-kdca-21-16567")</f>
        <v>0.0</v>
      </c>
      <c r="E1159" s="7" t="n">
        <f>HYPERLINK("https://www.somogyi.hu/data/img/product_main_images/small/16567.jpg","https://www.somogyi.hu/data/img/product_main_images/small/16567.jpg")</f>
        <v>0.0</v>
      </c>
      <c r="F1159" s="2" t="inlineStr">
        <is>
          <t>5999084945992</t>
        </is>
      </c>
      <c r="G1159" s="4" t="inlineStr">
        <is>
          <t>LED-es kerámia mozdony figura melegfehéren világító fenyővel (9 + 1 db LED). A termék 2 db 1,5 V (AAA) elemmel működik.</t>
        </is>
      </c>
    </row>
    <row r="1160">
      <c r="A1160" s="3" t="inlineStr">
        <is>
          <t>DRM 6</t>
        </is>
      </c>
      <c r="B1160" s="2" t="inlineStr">
        <is>
          <t>Világító asztali dísz, Betlehem</t>
        </is>
      </c>
      <c r="C1160" s="1" t="n">
        <v>7490.0</v>
      </c>
      <c r="D1160" s="7" t="n">
        <f>HYPERLINK("https://www.somogyi.hu/product/vilagito-asztali-disz-betlehem-drm-6-16059","https://www.somogyi.hu/product/vilagito-asztali-disz-betlehem-drm-6-16059")</f>
        <v>0.0</v>
      </c>
      <c r="E1160" s="7" t="n">
        <f>HYPERLINK("https://www.somogyi.hu/data/img/product_main_images/small/16059.jpg","https://www.somogyi.hu/data/img/product_main_images/small/16059.jpg")</f>
        <v>0.0</v>
      </c>
      <c r="F1160" s="2" t="inlineStr">
        <is>
          <t>5999084940911</t>
        </is>
      </c>
      <c r="G1160" s="4" t="inlineStr">
        <is>
          <t>Betlehem világító asztali dísz, üveggömbben.</t>
        </is>
      </c>
    </row>
    <row r="1161">
      <c r="A1161" s="3" t="inlineStr">
        <is>
          <t>GLE 12/WW</t>
        </is>
      </c>
      <c r="B1161" s="2" t="inlineStr">
        <is>
          <t>LED-es dekoráció</t>
        </is>
      </c>
      <c r="C1161" s="1" t="n">
        <v>2190.0</v>
      </c>
      <c r="D1161" s="7" t="n">
        <f>HYPERLINK("https://www.somogyi.hu/product/led-es-dekoracio-gle-12-ww-14732","https://www.somogyi.hu/product/led-es-dekoracio-gle-12-ww-14732")</f>
        <v>0.0</v>
      </c>
      <c r="E1161" s="7" t="n">
        <f>HYPERLINK("https://www.somogyi.hu/data/img/product_main_images/small/14732.jpg","https://www.somogyi.hu/data/img/product_main_images/small/14732.jpg")</f>
        <v>0.0</v>
      </c>
      <c r="F1161" s="2" t="inlineStr">
        <is>
          <t>5999084927745</t>
        </is>
      </c>
      <c r="G1161" s="4" t="inlineStr">
        <is>
          <t>Kedveli az egyedi dekorációkat? Ebben az esetben a GLE 12/WW garantáltan az egyik kedvence lesz! A termék alapanyagát a rugalmas EVA alkotja, amelyet egy melegfehér LED világít meg.
A gömb átmérője: 12 cm. Működetése elemmel oldható meg. Válassza a minőségi termékeket és rendeljen webáruházunkból.</t>
        </is>
      </c>
    </row>
    <row r="1162">
      <c r="A1162" s="3" t="inlineStr">
        <is>
          <t>DRM 10</t>
        </is>
      </c>
      <c r="B1162" s="2" t="inlineStr">
        <is>
          <t>Home DRM 10 világító karácsonyi falu, szán, mikulás, színes LED, zenélő, világító, beltéri</t>
        </is>
      </c>
      <c r="C1162" s="1" t="n">
        <v>28990.0</v>
      </c>
      <c r="D1162" s="7" t="n">
        <f>HYPERLINK("https://www.somogyi.hu/product/home-drm-10-vilagito-karacsonyi-falu-szan-mikulas-szines-led-zenelo-vilagito-belteri-drm-10-16058","https://www.somogyi.hu/product/home-drm-10-vilagito-karacsonyi-falu-szan-mikulas-szines-led-zenelo-vilagito-belteri-drm-10-16058")</f>
        <v>0.0</v>
      </c>
      <c r="E1162" s="7" t="n">
        <f>HYPERLINK("https://www.somogyi.hu/data/img/product_main_images/small/16058.jpg","https://www.somogyi.hu/data/img/product_main_images/small/16058.jpg")</f>
        <v>0.0</v>
      </c>
      <c r="F1162" s="2" t="inlineStr">
        <is>
          <t>5999084940904</t>
        </is>
      </c>
      <c r="G1162" s="4" t="inlineStr">
        <is>
          <t>Szeretne egy meghitt, világító karácsonyi díszt, amely otthona minden szegletében megidézi az ünnepi hangulatot? A DRM 10-es világító karácsonyi falu tökéletes választás!
A színes LED fényekkel megvilágított, bájos kis patak melletti falu a templomával, körben járó Mikulással és vidám gyermekekkel együtt teremt varázslatos látványt. A szettben mozgó szán is található, amely még élénkebbé teszi az egész jelenetet. 
A készülékhez kellemes dallam társul, de ha a csendet részesíti előnyben, akkor választhatja a néma üzemmódot is. 
Fontos megjegyezni, hogy a tápellátást 3 x 1,5 (AA) elem, vagy játéktranszformátor biztosítja, melyek nem részei a készletnek.
Engedje meg, hogy a DRM 10-es világító karácsonyi falu az ünnepi időszakban melegséggel töltse meg otthonát!</t>
        </is>
      </c>
    </row>
    <row r="1163">
      <c r="A1163" s="3" t="inlineStr">
        <is>
          <t>KDC 52</t>
        </is>
      </c>
      <c r="B1163" s="2" t="inlineStr">
        <is>
          <t>LED-es kerámia figura</t>
        </is>
      </c>
      <c r="C1163" s="1" t="n">
        <v>20290.0</v>
      </c>
      <c r="D1163" s="7" t="n">
        <f>HYPERLINK("https://www.somogyi.hu/product/led-es-keramia-figura-kdc-52-16559","https://www.somogyi.hu/product/led-es-keramia-figura-kdc-52-16559")</f>
        <v>0.0</v>
      </c>
      <c r="E1163" s="7" t="n">
        <f>HYPERLINK("https://www.somogyi.hu/data/img/product_main_images/small/16559.jpg","https://www.somogyi.hu/data/img/product_main_images/small/16559.jpg")</f>
        <v>0.0</v>
      </c>
      <c r="F1163" s="2" t="inlineStr">
        <is>
          <t>5999084945916</t>
        </is>
      </c>
      <c r="G1163" s="4" t="inlineStr">
        <is>
          <t xml:space="preserve"> • elhelyezhetőség: beltéri 
 • fényforrás: LED 
 • fényforrások száma: 4 db 
 • fényforrások színe: melegfehér 
 • funkciók: álló angyal világító csillagokkal 
 • méret: 24 x 52 x 17 cm 
 • tápellátás: 3 x 1,5 V (AA) elem, nem tartozék</t>
        </is>
      </c>
    </row>
    <row r="1164">
      <c r="A1164" s="3" t="inlineStr">
        <is>
          <t>DRM 13</t>
        </is>
      </c>
      <c r="B1164" s="2" t="inlineStr">
        <is>
          <t>Home DRM 13 dioráma, mikulás, színes LED, kisvonat, világító, zenélő, beltéri</t>
        </is>
      </c>
      <c r="C1164" s="1" t="n">
        <v>18590.0</v>
      </c>
      <c r="D1164" s="7" t="n">
        <f>HYPERLINK("https://www.somogyi.hu/product/home-drm-13-diorama-mikulas-szines-led-kisvonat-vilagito-zenelo-belteri-drm-13-16991","https://www.somogyi.hu/product/home-drm-13-diorama-mikulas-szines-led-kisvonat-vilagito-zenelo-belteri-drm-13-16991")</f>
        <v>0.0</v>
      </c>
      <c r="E1164" s="7" t="n">
        <f>HYPERLINK("https://www.somogyi.hu/data/img/product_main_images/small/16991.jpg","https://www.somogyi.hu/data/img/product_main_images/small/16991.jpg")</f>
        <v>0.0</v>
      </c>
      <c r="F1164" s="2" t="inlineStr">
        <is>
          <t>5999084950231</t>
        </is>
      </c>
      <c r="G1164" s="4" t="inlineStr">
        <is>
          <t>Képzeljen el egy karácsonyi jelenetet, melyben a Mikulás a főszereplő! A DRM 13 Dioráma pontosan ezt a varázslatos pillanatot hozza el otthonába.
Ez a beltéri kivitelű, színes LED világítással ellátott dísz egy körbejáró kisvonattal kápráztatja el látogatóit, miközben a háttérből kellemes karácsonyi dallam szól. A termék választhatóan néma üzemmódban is képes működni. A tápellátást 3 x 1,5 V (AA) elem biztosítja, melyek nem tartozékok.
Tegye emlékezetessé az ünnepi időszakot és varázsoljon el mindenkit a DRM 13 Diorámával!</t>
        </is>
      </c>
    </row>
    <row r="1165">
      <c r="A1165" s="3" t="inlineStr">
        <is>
          <t>KDC 27</t>
        </is>
      </c>
      <c r="B1165" s="2" t="inlineStr">
        <is>
          <t>Home KDC 27 kerámia-plüss dekoráció, 1 db LED, angyalka</t>
        </is>
      </c>
      <c r="C1165" s="1" t="n">
        <v>2890.0</v>
      </c>
      <c r="D1165" s="7" t="n">
        <f>HYPERLINK("https://www.somogyi.hu/product/home-kdc-27-keramia-pluss-dekoracio-1-db-led-angyalka-kdc-27-16995","https://www.somogyi.hu/product/home-kdc-27-keramia-pluss-dekoracio-1-db-led-angyalka-kdc-27-16995")</f>
        <v>0.0</v>
      </c>
      <c r="E1165" s="7" t="n">
        <f>HYPERLINK("https://www.somogyi.hu/data/img/product_main_images/small/16995.jpg","https://www.somogyi.hu/data/img/product_main_images/small/16995.jpg")</f>
        <v>0.0</v>
      </c>
      <c r="F1165" s="2" t="inlineStr">
        <is>
          <t>5999084950279</t>
        </is>
      </c>
      <c r="G1165" s="4" t="inlineStr">
        <is>
          <t xml:space="preserve"> • elhelyezhetőség: beltéri 
 • fényforrás: LED 
 • fényforrások száma: 1 db 
 • fényforrások színe: melegfehér 
 • méret: 8 x 26 x 8 cm 
 • tápellátás: 2 x 1,5 V (LR44) gombelem, tartozék</t>
        </is>
      </c>
    </row>
    <row r="1166">
      <c r="A1166" s="3" t="inlineStr">
        <is>
          <t>KDC 28</t>
        </is>
      </c>
      <c r="B1166" s="2" t="inlineStr">
        <is>
          <t>Home KDC 28 kerámia-plüss dekoráció, EVA gömb, 1 db LED</t>
        </is>
      </c>
      <c r="C1166" s="1" t="n">
        <v>2390.0</v>
      </c>
      <c r="D1166" s="7" t="n">
        <f>HYPERLINK("https://www.somogyi.hu/product/home-kdc-28-keramia-pluss-dekoracio-eva-gomb-1-db-led-kdc-28-16996","https://www.somogyi.hu/product/home-kdc-28-keramia-pluss-dekoracio-eva-gomb-1-db-led-kdc-28-16996")</f>
        <v>0.0</v>
      </c>
      <c r="E1166" s="7" t="n">
        <f>HYPERLINK("https://www.somogyi.hu/data/img/product_main_images/small/16996.jpg","https://www.somogyi.hu/data/img/product_main_images/small/16996.jpg")</f>
        <v>0.0</v>
      </c>
      <c r="F1166" s="2" t="inlineStr">
        <is>
          <t>5999084950286</t>
        </is>
      </c>
      <c r="G1166" s="4" t="inlineStr">
        <is>
          <t xml:space="preserve"> • elhelyezhetőség: beltéri 
 • fényforrás: LED 
 • fényforrások száma: 1 db 
 • fényforrások színe: melegfehér 
 • méret: 10 x 10 x10,5 cm 
 • tápellátás: 2 x 1,5 V (LR44) gombelem, tartozék</t>
        </is>
      </c>
    </row>
    <row r="1167">
      <c r="A1167" s="3" t="inlineStr">
        <is>
          <t>KDC 29</t>
        </is>
      </c>
      <c r="B1167" s="2" t="inlineStr">
        <is>
          <t>Home KDC 29 LED-es kerámia figura, 12 db LED, hóember</t>
        </is>
      </c>
      <c r="C1167" s="1" t="n">
        <v>25890.0</v>
      </c>
      <c r="D1167" s="7" t="n">
        <f>HYPERLINK("https://www.somogyi.hu/product/home-kdc-29-led-es-keramia-figura-12-db-led-hoember-kdc-29-16997","https://www.somogyi.hu/product/home-kdc-29-led-es-keramia-figura-12-db-led-hoember-kdc-29-16997")</f>
        <v>0.0</v>
      </c>
      <c r="E1167" s="7" t="n">
        <f>HYPERLINK("https://www.somogyi.hu/data/img/product_main_images/small/16997.jpg","https://www.somogyi.hu/data/img/product_main_images/small/16997.jpg")</f>
        <v>0.0</v>
      </c>
      <c r="F1167" s="2" t="inlineStr">
        <is>
          <t>5999084950293</t>
        </is>
      </c>
      <c r="G1167" s="4" t="inlineStr">
        <is>
          <t>Élvezze a karácsonyi hangulatot a KDC 29 LED-ES KERÁMIA FIGURÁVAL! Ez a finoman kidolgozott kerámia Hóember kisugárzásával tökéletesen megidézi az ünnepi érzést.
A termékben található 12 darab melegfehér LED minden környezetben hangulatos fényt biztosít. 
A tápellátásához 3 db 1,5 V (AA) elemre van szükség, ezek nem részei a csomagnak, így külön kell beszerezni őket.
Ne hagyja ki a lehetőséget, tegye még varázslatosabbá otthonát az ünnepek alatt!</t>
        </is>
      </c>
    </row>
    <row r="1168">
      <c r="A1168" s="3" t="inlineStr">
        <is>
          <t>KDC 48</t>
        </is>
      </c>
      <c r="B1168" s="2" t="inlineStr">
        <is>
          <t>Home KDC 48 LED-es kerámia figura, LED világítás, mikulás</t>
        </is>
      </c>
      <c r="C1168" s="1" t="n">
        <v>20890.0</v>
      </c>
      <c r="D1168" s="7" t="n">
        <f>HYPERLINK("https://www.somogyi.hu/product/home-kdc-48-led-es-keramia-figura-led-vilagitas-mikulas-kdc-48-17010","https://www.somogyi.hu/product/home-kdc-48-led-es-keramia-figura-led-vilagitas-mikulas-kdc-48-17010")</f>
        <v>0.0</v>
      </c>
      <c r="E1168" s="7" t="n">
        <f>HYPERLINK("https://www.somogyi.hu/data/img/product_main_images/small/17010.jpg","https://www.somogyi.hu/data/img/product_main_images/small/17010.jpg")</f>
        <v>0.0</v>
      </c>
      <c r="F1168" s="2" t="inlineStr">
        <is>
          <t>5999084950422</t>
        </is>
      </c>
      <c r="G1168" s="4" t="inlineStr">
        <is>
          <t>Élvezze a karácsonyi hangulatot a KDC 48 LED-ES KERÁMIA FIGURÁVAL! Ez a finoman kidolgozott kerámia Mikulás kisugárzásával tökéletesen megidézi az ünnepi érzést.
A termékben található melegfehér LED világítás minden környezetben hangulatos fényt biztosít. 
A tápellátásához 3 db 1,5 V (AA) elemre van szükség, ezek nem részei a csomagnak, így külön kell beszerezni őket.
Ne hagyja ki a lehetőséget, tegye még varázslatosabbá otthonát az ünnepek alatt!</t>
        </is>
      </c>
    </row>
    <row r="1169">
      <c r="A1169" s="3" t="inlineStr">
        <is>
          <t>CDM 12</t>
        </is>
      </c>
      <c r="B1169" s="2" t="inlineStr">
        <is>
          <t>Home CDM 12 asztali dísz, LED-es fenyőfa, 1 db LED</t>
        </is>
      </c>
      <c r="C1169" s="1" t="n">
        <v>939.0</v>
      </c>
      <c r="D1169" s="7" t="n">
        <f>HYPERLINK("https://www.somogyi.hu/product/home-cdm-12-asztali-disz-led-es-fenyofa-1-db-led-cdm-12-15637","https://www.somogyi.hu/product/home-cdm-12-asztali-disz-led-es-fenyofa-1-db-led-cdm-12-15637")</f>
        <v>0.0</v>
      </c>
      <c r="E1169" s="7" t="n">
        <f>HYPERLINK("https://www.somogyi.hu/data/img/product_main_images/small/15637.jpg","https://www.somogyi.hu/data/img/product_main_images/small/15637.jpg")</f>
        <v>0.0</v>
      </c>
      <c r="F1169" s="2" t="inlineStr">
        <is>
          <t>5999084936716</t>
        </is>
      </c>
      <c r="G1169" s="4" t="inlineStr">
        <is>
          <t>A CDM 12 LED-es asztali dísz segítségével már megalapozhatja a karácsonyi hangulatot. A beltéri fenyőfa egy 3D akril dekoráció, aminek fényét 1 darab színváltó LED biztosítja. A világítást ki- és be lehet kapcsolni. A dekoráció átmérője: 5,5 cm. Magassága: 12 cm. Válassza a minőségi termékeket és rendeljen webáruházunkból!</t>
        </is>
      </c>
    </row>
    <row r="1170">
      <c r="A1170" s="3" t="inlineStr">
        <is>
          <t>KT 250/BL</t>
        </is>
      </c>
      <c r="B1170" s="2" t="inlineStr">
        <is>
          <t>Home KT 250/BL karácsonyfa takaró, kék alap, ezüst csillagok, fleece, beltéri</t>
        </is>
      </c>
      <c r="C1170" s="1" t="n">
        <v>719.0</v>
      </c>
      <c r="D1170" s="7" t="n">
        <f>HYPERLINK("https://www.somogyi.hu/product/home-kt-250-bl-karacsonyfa-takaro-kek-alap-ezust-csillagok-fleece-belteri-kt-250-bl-9951","https://www.somogyi.hu/product/home-kt-250-bl-karacsonyfa-takaro-kek-alap-ezust-csillagok-fleece-belteri-kt-250-bl-9951")</f>
        <v>0.0</v>
      </c>
      <c r="E1170" s="7" t="n">
        <f>HYPERLINK("https://www.somogyi.hu/data/img/product_main_images/small/09951.jpg","https://www.somogyi.hu/data/img/product_main_images/small/09951.jpg")</f>
        <v>0.0</v>
      </c>
      <c r="F1170" s="2" t="inlineStr">
        <is>
          <t>5998312786673</t>
        </is>
      </c>
      <c r="G1170" s="4" t="inlineStr">
        <is>
          <t>Fedje be karácsonyfáját stílusosan a KT 250/BL nevű karácsonyfa-takaróval! 
Ez a kiváló minőségű kiegészítő nem csak a fa környezetét szépíti meg, hanem praktikus védelmet biztosít a fenyőnek és a padlónak. 
Az ünnepek utáni takarítás sosem volt még ilyen egyszerű! A kék alapon ragyogó ezüstszürke csillagok alkotják a tökéletes harmóniát a karácsonyi hangulathoz. 
A nemszőtt, fleece alapanyag egyszerűen kezelhető, így könnyedén terítheti a takarót az akár 250 cm magas fája köré. 
A KT 250/BL takaró az ünnepek végezetével egyszerűen felhúzható, hogy az elhullott tűleveleket ne kelljen feltakarítania. 
Válassza a KT 250/BL karácsonyfa-takarót, és tegye az ünnepeket még kényelmesebbé!</t>
        </is>
      </c>
    </row>
    <row r="1171">
      <c r="A1171" s="3" t="inlineStr">
        <is>
          <t>DRM 16</t>
        </is>
      </c>
      <c r="B1171" s="2" t="inlineStr">
        <is>
          <t>Home DRM 16 dioráma, fehér ház, LED, fenyőfa, beltéri</t>
        </is>
      </c>
      <c r="C1171" s="1" t="n">
        <v>32790.0</v>
      </c>
      <c r="D1171" s="7" t="n">
        <f>HYPERLINK("https://www.somogyi.hu/product/home-drm-16-diorama-feher-haz-led-fenyofa-belteri-drm-16-17369","https://www.somogyi.hu/product/home-drm-16-diorama-feher-haz-led-fenyofa-belteri-drm-16-17369")</f>
        <v>0.0</v>
      </c>
      <c r="E1171" s="7" t="n">
        <f>HYPERLINK("https://www.somogyi.hu/data/img/product_main_images/small/17369.jpg","https://www.somogyi.hu/data/img/product_main_images/small/17369.jpg")</f>
        <v>0.0</v>
      </c>
      <c r="F1171" s="2" t="inlineStr">
        <is>
          <t>5999084953911</t>
        </is>
      </c>
      <c r="G1171" s="4" t="inlineStr">
        <is>
          <t>Szeretne egy igazán különleges dekorációt, amely azonnal megidézi az ünnepi hangulatot? A DRM 16 Dioráma a tökéletes választás!
Ez a csodálatos fehér ház beltéri kivitelben készült, bármely szobájában pompázhat. A fehér LED világítás finoman emeli ki a házikó részleteit, míg a forgó fenyőfa varázslatosan életre kelti környezetét. A tápellátást a tartozék beltéri hálózati adapter biztosítja.
Ne hagyja ki ezt az egyedülálló lehetőséget! A DRM 16 Dioráma ünnepi köntösbe öltözteti otthonát!</t>
        </is>
      </c>
    </row>
    <row r="1172">
      <c r="A1172" s="3" t="inlineStr">
        <is>
          <t>KKD 107</t>
        </is>
      </c>
      <c r="B1172" s="2" t="inlineStr">
        <is>
          <t>Home KKD 107 LED-es dekorációs lámpa, hóember, EVA alapanyag, 1 db LED, színváltó</t>
        </is>
      </c>
      <c r="C1172" s="1" t="n">
        <v>1550.0</v>
      </c>
      <c r="D1172" s="7" t="n">
        <f>HYPERLINK("https://www.somogyi.hu/product/home-kkd-107-led-es-dekoracios-lampa-hoember-eva-alapanyag-1-db-led-szinvalto-kkd-107-9834","https://www.somogyi.hu/product/home-kkd-107-led-es-dekoracios-lampa-hoember-eva-alapanyag-1-db-led-szinvalto-kkd-107-9834")</f>
        <v>0.0</v>
      </c>
      <c r="E1172" s="7" t="n">
        <f>HYPERLINK("https://www.somogyi.hu/data/img/product_main_images/small/09834.jpg","https://www.somogyi.hu/data/img/product_main_images/small/09834.jpg")</f>
        <v>0.0</v>
      </c>
      <c r="F1172" s="2" t="inlineStr">
        <is>
          <t>5998312785560</t>
        </is>
      </c>
      <c r="G1172" s="4" t="inlineStr">
        <is>
          <t>Ha Ön is kedveli a LED-es világítást, akkor kifejezetten örömét fogja lelni a téli ünnepek alatt a KKD 107-es típusú hóember formájú dekorációs lámpának. A hóember formájú lámpának egy darab színváltós LED biztosítja az ünnepi világítást. A lámpa EVA alapanyagból készült.
A  Válassza a minőségi termékeket és rendeljen webáruházunkból.</t>
        </is>
      </c>
    </row>
    <row r="1173">
      <c r="A1173" s="3" t="inlineStr">
        <is>
          <t>DRM 15</t>
        </is>
      </c>
      <c r="B1173" s="2" t="inlineStr">
        <is>
          <t>Home DRM 15 dioráma, havas ház, színes LED, rénszarvasszán, beltéri</t>
        </is>
      </c>
      <c r="C1173" s="1" t="n">
        <v>19490.0</v>
      </c>
      <c r="D1173" s="7" t="n">
        <f>HYPERLINK("https://www.somogyi.hu/product/home-drm-15-diorama-havas-haz-szines-led-renszarvasszan-belteri-drm-15-17368","https://www.somogyi.hu/product/home-drm-15-diorama-havas-haz-szines-led-renszarvasszan-belteri-drm-15-17368")</f>
        <v>0.0</v>
      </c>
      <c r="E1173" s="7" t="n">
        <f>HYPERLINK("https://www.somogyi.hu/data/img/product_main_images/small/17368.jpg","https://www.somogyi.hu/data/img/product_main_images/small/17368.jpg")</f>
        <v>0.0</v>
      </c>
      <c r="F1173" s="2" t="inlineStr">
        <is>
          <t>5999084953904</t>
        </is>
      </c>
      <c r="G1173" s="4" t="inlineStr">
        <is>
          <t>Szeretne egy igazán különleges dekorációt, amely azonnal megidézi az ünnepi hangulatot? A DRM 15 Dioráma a tökéletes választás!
A termék beltéri kivitelben készült, így bármely szobájában pompázhat. A fehér LED világítás finoman emeli ki a házikó részleteit, míg a körbejáró rénszarvasszán varázslatosan életre kelti környezetét. A tápellátást 3 x 1,5 V (AA) elem biztosítja, melyek nem tartoznak a csomaghoz.
Ne hagyja ki ezt az egyedülálló lehetőséget! A DRM 15 Dioráma ünnepi köntösbe öltözteti otthonát!</t>
        </is>
      </c>
    </row>
    <row r="1174">
      <c r="A1174" s="3" t="inlineStr">
        <is>
          <t>DRM 14</t>
        </is>
      </c>
      <c r="B1174" s="2" t="inlineStr">
        <is>
          <t>Home DRM 14 dioráma, kandalló, világító, Mikulás, beltéri</t>
        </is>
      </c>
      <c r="C1174" s="1" t="n">
        <v>13890.0</v>
      </c>
      <c r="D1174" s="7" t="n">
        <f>HYPERLINK("https://www.somogyi.hu/product/home-drm-14-diorama-kandallo-vilagito-mikulas-belteri-drm-14-17367","https://www.somogyi.hu/product/home-drm-14-diorama-kandallo-vilagito-mikulas-belteri-drm-14-17367")</f>
        <v>0.0</v>
      </c>
      <c r="E1174" s="7" t="n">
        <f>HYPERLINK("https://www.somogyi.hu/data/img/product_main_images/small/17367.jpg","https://www.somogyi.hu/data/img/product_main_images/small/17367.jpg")</f>
        <v>0.0</v>
      </c>
      <c r="F1174" s="2" t="inlineStr">
        <is>
          <t>5999084953898</t>
        </is>
      </c>
      <c r="G1174" s="4" t="inlineStr">
        <is>
          <t>Szeretne otthonát karácsonyi hangulatúvá varázsolni? A DRM 14 kandallóval ezt azonnal megteheti!
Beltéri kivitelű termékünk központi eleme egy kandalló, amely valósághű fényeffektekkel hozza el 
Önnek a meleg, otthonos atmoszférát. A kandalló mellett egy forgó karácsonyfa és a Mikulás teszi teljessé az ünnepi képet. 
Működtetéséhez 3 x 1,5 V (AA) elemre van szükség, amely nem része a készletnek.
Teremtsen igazi ünnepi hangulatot a DRM 14 dioráma segítségével!</t>
        </is>
      </c>
    </row>
    <row r="1175">
      <c r="A1175" s="3" t="inlineStr">
        <is>
          <t>TAP 10</t>
        </is>
      </c>
      <c r="B1175" s="2" t="inlineStr">
        <is>
          <t>Home TAP 10 tapadókorong, 5 db</t>
        </is>
      </c>
      <c r="C1175" s="1" t="n">
        <v>719.0</v>
      </c>
      <c r="D1175" s="7" t="n">
        <f>HYPERLINK("https://www.somogyi.hu/product/home-tap-10-tapadokorong-5-db-tap-10-8610","https://www.somogyi.hu/product/home-tap-10-tapadokorong-5-db-tap-10-8610")</f>
        <v>0.0</v>
      </c>
      <c r="E1175" s="7" t="n">
        <f>HYPERLINK("https://www.somogyi.hu/data/img/product_main_images/small/08610.jpg","https://www.somogyi.hu/data/img/product_main_images/small/08610.jpg")</f>
        <v>0.0</v>
      </c>
      <c r="F1175" s="2" t="inlineStr">
        <is>
          <t>5998312775035</t>
        </is>
      </c>
      <c r="G1175" s="4" t="inlineStr">
        <is>
          <t>Önnek is gyakori dilemmát okoz, hogy az időszakos vagy hosszabbtávra szánt dekorációkat miképpen tudná anélkül felakasztani, hogy szögelni, esetleg fúrni kéne hozzá? Ez esetben a TAP 10-es tapadókorong garantált segítséget fog nyújtani.
A tapadókorong ideális a könnyebb dekorációk tartásához. Diszkrét külleme nem okoz feltűnést, szinte láthatatlan. Felragasztása könnyedén megoldható, hiszen kiválón tapad a sima fal -, üveg, csempe és egyéb felületeken. Válassza a minőségi termékeket és rendeljen webáruházunkból.</t>
        </is>
      </c>
    </row>
    <row r="1176">
      <c r="A1176" s="6" t="inlineStr">
        <is>
          <t xml:space="preserve">   Karácsonyi dekorációs világítás / Mécses</t>
        </is>
      </c>
      <c r="B1176" s="6" t="inlineStr">
        <is>
          <t/>
        </is>
      </c>
      <c r="C1176" s="6" t="inlineStr">
        <is>
          <t/>
        </is>
      </c>
      <c r="D1176" s="6" t="inlineStr">
        <is>
          <t/>
        </is>
      </c>
      <c r="E1176" s="6" t="inlineStr">
        <is>
          <t/>
        </is>
      </c>
      <c r="F1176" s="6" t="inlineStr">
        <is>
          <t/>
        </is>
      </c>
      <c r="G1176" s="6" t="inlineStr">
        <is>
          <t/>
        </is>
      </c>
    </row>
    <row r="1177">
      <c r="A1177" s="3" t="inlineStr">
        <is>
          <t>CD 6/WH</t>
        </is>
      </c>
      <c r="B1177" s="2" t="inlineStr">
        <is>
          <t>Home CD 6/WH LED-es teamécses, narancssárga LED, 6 db</t>
        </is>
      </c>
      <c r="C1177" s="1" t="n">
        <v>1490.0</v>
      </c>
      <c r="D1177" s="7" t="n">
        <f>HYPERLINK("https://www.somogyi.hu/product/home-cd-6-wh-led-es-teamecses-narancssarga-led-6-db-cd-6-wh-14739","https://www.somogyi.hu/product/home-cd-6-wh-led-es-teamecses-narancssarga-led-6-db-cd-6-wh-14739")</f>
        <v>0.0</v>
      </c>
      <c r="E1177" s="7" t="n">
        <f>HYPERLINK("https://www.somogyi.hu/data/img/product_main_images/small/14739.jpg","https://www.somogyi.hu/data/img/product_main_images/small/14739.jpg")</f>
        <v>0.0</v>
      </c>
      <c r="F1177" s="2" t="inlineStr">
        <is>
          <t>5999084927813</t>
        </is>
      </c>
      <c r="G1177" s="4" t="inlineStr">
        <is>
          <t>Keresse a karácsonyi ünnepekhez illő LED-es teamécseseket! A CD 6/WH hagyományos fehér színű mécsessel rendelkezik, illetve narancssárga izzószínnel. A teamécses hangulatos LED világítást biztosít. Egy bliszterben összesen hat darab LED-es teamécses kapható. Mérete: ø38 mm x 45 mm.
A LED-es teamécses bensőséges hangulatot teremt, letisztult külleme révén pedig kiválóan mutat szinte bármilyen stílusban berendezett lakásban. Válassza a minőségi termékeket és rendeljen webáruházunkból.</t>
        </is>
      </c>
    </row>
    <row r="1178">
      <c r="A1178" s="3" t="inlineStr">
        <is>
          <t>CD 1</t>
        </is>
      </c>
      <c r="B1178" s="2" t="inlineStr">
        <is>
          <t>Home CD 1 LED-es gyertya, állófényű LED, műanyag, 3 funkció</t>
        </is>
      </c>
      <c r="C1178" s="1" t="n">
        <v>3390.0</v>
      </c>
      <c r="D1178" s="7" t="n">
        <f>HYPERLINK("https://www.somogyi.hu/product/home-cd-1-led-es-gyertya-allofenyu-led-muanyag-3-funkcio-cd-1-17370","https://www.somogyi.hu/product/home-cd-1-led-es-gyertya-allofenyu-led-muanyag-3-funkcio-cd-1-17370")</f>
        <v>0.0</v>
      </c>
      <c r="E1178" s="7" t="n">
        <f>HYPERLINK("https://www.somogyi.hu/data/img/product_main_images/small/17370.jpg","https://www.somogyi.hu/data/img/product_main_images/small/17370.jpg")</f>
        <v>0.0</v>
      </c>
      <c r="F1178" s="2" t="inlineStr">
        <is>
          <t>5999084953928</t>
        </is>
      </c>
      <c r="G1178" s="4" t="inlineStr">
        <is>
          <t xml:space="preserve"> • elhelyezhetőség: beltéri 
 • fényforrás: LED 
 • fényforrások száma: 1 db 
 • fényforrások színe: melegfehér 
 • funkciók: pislákoló, lángnyelv alakú LED  
 • méret: ∅75 x 125 mm 
 • tápellátás: 2 x AA (1,5 V) elem (nem tartozék) 
 • egyéb: valódi viasszal • be-/ki kapcsolóval</t>
        </is>
      </c>
    </row>
    <row r="1179">
      <c r="A1179" s="3" t="inlineStr">
        <is>
          <t>CDL 20</t>
        </is>
      </c>
      <c r="B1179" s="2" t="inlineStr">
        <is>
          <t>Home CDL 20 LED-es kőmécses, valódi viasz, 3 db LED, ismétlődő időzítés, 8 cm magas</t>
        </is>
      </c>
      <c r="C1179" s="1" t="n">
        <v>7790.0</v>
      </c>
      <c r="D1179" s="7" t="n">
        <f>HYPERLINK("https://www.somogyi.hu/product/home-cdl-20-led-es-komecses-valodi-viasz-3-db-led-ismetlodo-idozites-8-cm-magas-cdl-20-17354","https://www.somogyi.hu/product/home-cdl-20-led-es-komecses-valodi-viasz-3-db-led-ismetlodo-idozites-8-cm-magas-cdl-20-17354")</f>
        <v>0.0</v>
      </c>
      <c r="E1179" s="7" t="n">
        <f>HYPERLINK("https://www.somogyi.hu/data/img/product_main_images/small/17354.jpg","https://www.somogyi.hu/data/img/product_main_images/small/17354.jpg")</f>
        <v>0.0</v>
      </c>
      <c r="F1179" s="2" t="inlineStr">
        <is>
          <t>5999084953768</t>
        </is>
      </c>
      <c r="G1179" s="4" t="inlineStr">
        <is>
          <t xml:space="preserve"> • elhelyezhetőség: beltéri 
 • fényforrás: LED 
 • fényforrások száma: 3 db 
 • fényforrások színe: melegfehér 
 • funkciók: pislákoló, lángnyelv alakú LED  
 • méret: ∅200 x 80 mm 
 • tápellátás: 3 x 1,5 V (AA) elem (nem tartozék) 
 • egyéb: valódi viasszal • 6 H ON / 18 H OFF ismétlődő időzítés</t>
        </is>
      </c>
    </row>
    <row r="1180">
      <c r="A1180" s="3" t="inlineStr">
        <is>
          <t>CDO 1</t>
        </is>
      </c>
      <c r="B1180" s="2" t="inlineStr">
        <is>
          <t>Home CDO 1 LED-es gyertya, melegfehér LED, műanyag, 3 funkció, kültéri, beltéri</t>
        </is>
      </c>
      <c r="C1180" s="1" t="n">
        <v>1850.0</v>
      </c>
      <c r="D1180" s="7" t="n">
        <f>HYPERLINK("https://www.somogyi.hu/product/home-cdo-1-led-es-gyertya-melegfeher-led-muanyag-3-funkcio-kulteri-belteri-cdo-1-18130","https://www.somogyi.hu/product/home-cdo-1-led-es-gyertya-melegfeher-led-muanyag-3-funkcio-kulteri-belteri-cdo-1-18130")</f>
        <v>0.0</v>
      </c>
      <c r="E1180" s="7" t="n">
        <f>HYPERLINK("https://www.somogyi.hu/data/img/product_main_images/small/18130.jpg","https://www.somogyi.hu/data/img/product_main_images/small/18130.jpg")</f>
        <v>0.0</v>
      </c>
      <c r="F1180" s="2" t="inlineStr">
        <is>
          <t>5999084961527</t>
        </is>
      </c>
      <c r="G1180" s="4" t="inlineStr">
        <is>
          <t xml:space="preserve"> • elhelyezhetőség: kültéri / beltéri 
 • fényforrás: LED 
 • fényforrások száma: 1 db 
 • fényforrások színe: melegfehér 
 • funkciók: be/ki kapcsolható / ismétlődő időzítés: ON / OFF / TIMER (6 h ON / 18 h OFF) 
 • méret: Ø 7,54 x 12,5 cm 
 • tápellátás: 2 x 1,5 V (AA) elem, nem tartozék 
 • anyaga: műanyag 
 • egyéb: csomagolás: színes doboz</t>
        </is>
      </c>
    </row>
    <row r="1181">
      <c r="A1181" s="3" t="inlineStr">
        <is>
          <t>CDL 17</t>
        </is>
      </c>
      <c r="B1181" s="2" t="inlineStr">
        <is>
          <t>Home CDL 17 LED-es kőmécses, valódi viasz, LED, ismétlődő időzítés, 14 cm magas</t>
        </is>
      </c>
      <c r="C1181" s="1" t="n">
        <v>6590.0</v>
      </c>
      <c r="D1181" s="7" t="n">
        <f>HYPERLINK("https://www.somogyi.hu/product/home-cdl-17-led-es-komecses-valodi-viasz-led-ismetlodo-idozites-14-cm-magas-cdl-17-17353","https://www.somogyi.hu/product/home-cdl-17-led-es-komecses-valodi-viasz-led-ismetlodo-idozites-14-cm-magas-cdl-17-17353")</f>
        <v>0.0</v>
      </c>
      <c r="E1181" s="7" t="n">
        <f>HYPERLINK("https://www.somogyi.hu/data/img/product_main_images/small/17353.jpg","https://www.somogyi.hu/data/img/product_main_images/small/17353.jpg")</f>
        <v>0.0</v>
      </c>
      <c r="F1181" s="2" t="inlineStr">
        <is>
          <t>5999084953751</t>
        </is>
      </c>
      <c r="G1181" s="4" t="inlineStr">
        <is>
          <t xml:space="preserve"> • elhelyezhetőség: beltéri 
 • fényforrás: LED 
 • fényforrások száma: 1 db 
 • fényforrások színe: melegfehér 
 • funkciók: pislákoló, lángnyelv alakú LED  
 • méret: ∅170 x 140 mm 
 • tápellátás: 3 x 1,5 V (AA) elem (nem tartozék) 
 • egyéb: valódi viasszal • 6 H ON / 18 H OFF ismétlődő időzítés</t>
        </is>
      </c>
    </row>
    <row r="1182">
      <c r="A1182" s="3" t="inlineStr">
        <is>
          <t>CDL 14</t>
        </is>
      </c>
      <c r="B1182" s="2" t="inlineStr">
        <is>
          <t>Home CDL 14 LED-es kőmécses, valódi viasz, LED, ismétlődő időzítés, 8,5 cm magas</t>
        </is>
      </c>
      <c r="C1182" s="1" t="n">
        <v>4090.0</v>
      </c>
      <c r="D1182" s="7" t="n">
        <f>HYPERLINK("https://www.somogyi.hu/product/home-cdl-14-led-es-komecses-valodi-viasz-led-ismetlodo-idozites-8-5-cm-magas-cdl-14-17352","https://www.somogyi.hu/product/home-cdl-14-led-es-komecses-valodi-viasz-led-ismetlodo-idozites-8-5-cm-magas-cdl-14-17352")</f>
        <v>0.0</v>
      </c>
      <c r="E1182" s="7" t="n">
        <f>HYPERLINK("https://www.somogyi.hu/data/img/product_main_images/small/17352.jpg","https://www.somogyi.hu/data/img/product_main_images/small/17352.jpg")</f>
        <v>0.0</v>
      </c>
      <c r="F1182" s="2" t="inlineStr">
        <is>
          <t>5999084953744</t>
        </is>
      </c>
      <c r="G1182" s="4" t="inlineStr">
        <is>
          <t xml:space="preserve"> • elhelyezhetőség: beltéri 
 • fényforrás: LED 
 • fényforrások száma: 1 db 
 • fényforrások színe: melegfehér 
 • funkciók: pislákoló, lángnyelv alakú LED  
 • méret: ∅140 x 85 mm 
 • tápellátás: 3 x 1,5 V (AA) elem (nem tartozék) 
 • egyéb: valódi viasszal • 6 H ON / 18 H OFF ismétlődő időzítés</t>
        </is>
      </c>
    </row>
    <row r="1183">
      <c r="A1183" s="6" t="inlineStr">
        <is>
          <t xml:space="preserve">   Karácsonyi dekorációs világítás / Táncoló, zenélő figura</t>
        </is>
      </c>
      <c r="B1183" s="6" t="inlineStr">
        <is>
          <t/>
        </is>
      </c>
      <c r="C1183" s="6" t="inlineStr">
        <is>
          <t/>
        </is>
      </c>
      <c r="D1183" s="6" t="inlineStr">
        <is>
          <t/>
        </is>
      </c>
      <c r="E1183" s="6" t="inlineStr">
        <is>
          <t/>
        </is>
      </c>
      <c r="F1183" s="6" t="inlineStr">
        <is>
          <t/>
        </is>
      </c>
      <c r="G1183" s="6" t="inlineStr">
        <is>
          <t/>
        </is>
      </c>
    </row>
    <row r="1184">
      <c r="A1184" s="3" t="inlineStr">
        <is>
          <t>KDD 20</t>
        </is>
      </c>
      <c r="B1184" s="2" t="inlineStr">
        <is>
          <t>Hangutánzó rénszarvas</t>
        </is>
      </c>
      <c r="C1184" s="1" t="n">
        <v>5790.0</v>
      </c>
      <c r="D1184" s="7" t="n">
        <f>HYPERLINK("https://www.somogyi.hu/product/hangutanzo-renszarvas-kdd-20-16054","https://www.somogyi.hu/product/hangutanzo-renszarvas-kdd-20-16054")</f>
        <v>0.0</v>
      </c>
      <c r="E1184" s="7" t="n">
        <f>HYPERLINK("https://www.somogyi.hu/data/img/product_main_images/small/16054.jpg","https://www.somogyi.hu/data/img/product_main_images/small/16054.jpg")</f>
        <v>0.0</v>
      </c>
      <c r="F1184" s="2" t="inlineStr">
        <is>
          <t>5999084940867</t>
        </is>
      </c>
      <c r="G1184" s="4" t="inlineStr">
        <is>
          <t>A gyermekek kedvenc játéka lesz a hangutánzó rénszarvas (KDD 20). A rénszarvas rögzíti majd visszamondja az elhangzottakat, közben pedig fel-le mozog. Tápellátását 3x1,5 V (AAA) elem biztosítja. Válassza a minőségi termékeket és rendeljen webáruházunkból.</t>
        </is>
      </c>
    </row>
    <row r="1185">
      <c r="A1185" s="3" t="inlineStr">
        <is>
          <t>KDD 35</t>
        </is>
      </c>
      <c r="B1185" s="2" t="inlineStr">
        <is>
          <t>Home KDD 35 táncoló, zenélő mikulás, világító lámpás, 35 cm magas</t>
        </is>
      </c>
      <c r="C1185" s="1" t="n">
        <v>8690.0</v>
      </c>
      <c r="D1185" s="7" t="n">
        <f>HYPERLINK("https://www.somogyi.hu/product/home-kdd-35-tancolo-zenelo-mikulas-vilagito-lampas-35-cm-magas-kdd-35-17816","https://www.somogyi.hu/product/home-kdd-35-tancolo-zenelo-mikulas-vilagito-lampas-35-cm-magas-kdd-35-17816")</f>
        <v>0.0</v>
      </c>
      <c r="E1185" s="7" t="n">
        <f>HYPERLINK("https://www.somogyi.hu/data/img/product_main_images/small/17816.jpg","https://www.somogyi.hu/data/img/product_main_images/small/17816.jpg")</f>
        <v>0.0</v>
      </c>
      <c r="F1185" s="2" t="inlineStr">
        <is>
          <t>5999084958381</t>
        </is>
      </c>
      <c r="G1185" s="4" t="inlineStr">
        <is>
          <t xml:space="preserve"> • elhelyezhetőség: beltéri 
 • funkciók: a Mikulás zenére táncol 
 • méret: magasság: 35 cm 
 • tápellátás: 3 x AA elem (nem tartozék) 
 • egyéb: világító lámpással • kellemes dallammal</t>
        </is>
      </c>
    </row>
    <row r="1186">
      <c r="A1186" s="3" t="inlineStr">
        <is>
          <t>KDD 45</t>
        </is>
      </c>
      <c r="B1186" s="2" t="inlineStr">
        <is>
          <t>Home KDD 45 táncoló, zenélő mikulás, 45 cm magas</t>
        </is>
      </c>
      <c r="C1186" s="1" t="n">
        <v>11190.0</v>
      </c>
      <c r="D1186" s="7" t="n">
        <f>HYPERLINK("https://www.somogyi.hu/product/home-kdd-45-tancolo-zenelo-mikulas-45-cm-magas-kdd-45-13986","https://www.somogyi.hu/product/home-kdd-45-tancolo-zenelo-mikulas-45-cm-magas-kdd-45-13986")</f>
        <v>0.0</v>
      </c>
      <c r="E1186" s="7" t="n">
        <f>HYPERLINK("https://www.somogyi.hu/data/img/product_main_images/small/13986.jpg","https://www.somogyi.hu/data/img/product_main_images/small/13986.jpg")</f>
        <v>0.0</v>
      </c>
      <c r="F1186" s="2" t="inlineStr">
        <is>
          <t>5999084920388</t>
        </is>
      </c>
      <c r="G1186" s="4" t="inlineStr">
        <is>
          <t>A kisgyermekek kedvenc játéka lesz a zenére táncoló Mikulás.  A KDD 45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87">
      <c r="A1187" s="3" t="inlineStr">
        <is>
          <t>KDD 38</t>
        </is>
      </c>
      <c r="B1187" s="2" t="inlineStr">
        <is>
          <t>Home KDD 38 éneklő rénszarvas, 38 cm magas</t>
        </is>
      </c>
      <c r="C1187" s="1" t="n">
        <v>9590.0</v>
      </c>
      <c r="D1187" s="7" t="n">
        <f>HYPERLINK("https://www.somogyi.hu/product/home-kdd-38-eneklo-renszarvas-38-cm-magas-kdd-38-16992","https://www.somogyi.hu/product/home-kdd-38-eneklo-renszarvas-38-cm-magas-kdd-38-16992")</f>
        <v>0.0</v>
      </c>
      <c r="E1187" s="7" t="n">
        <f>HYPERLINK("https://www.somogyi.hu/data/img/product_main_images/small/16992.jpg","https://www.somogyi.hu/data/img/product_main_images/small/16992.jpg")</f>
        <v>0.0</v>
      </c>
      <c r="F1187" s="2" t="inlineStr">
        <is>
          <t>5999084950248</t>
        </is>
      </c>
      <c r="G1187" s="4" t="inlineStr">
        <is>
          <t>Egy különleges karácsonyi díszt keres, ami mosolyt csal mindenki arcára? A Home KDD 38 Éneklő Rénszarvas tökéletes választás lehet!
Ez a szórakoztató karácsonyi dekoráció nem csupán egy egyszerű dísz; éneklő és mozgó funkciói révén azonnal felvidítja a hangulatot. Amikor bekapcsolja, a rénszarvas vidám dallamokat énekel, miközben fejét ingatja, így garantáltan feldobja az ünnepi hangulatot. Kiválóan alkalmas otthona dekorálására vagy akár egy vicces ajándékként is szolgálhat. A  játékos figura három darab 1,5 V-os (AA) elemmel üzemel, melyek nem részei a csomagnak. Egyszerűen helyezzen bele az elemeket, és máris élvezheti a rénszarvas vidám produkcióját.
A Home KDD 38 Éneklő Rénszarvas remekül illeszkedik a karácsonyfa alá vagy az előszobába, ahol minden belépő vendéget mosolyra fakaszthat. Könnyen kezelhető és biztonságos, így a gyermekek is nyugodtan játszhatnak vele.
Ne hagyja ki ezt a különleges és szórakoztató karácsonyi dekorációt! A Home KDD 38 Éneklő Rénszarvas garantáltan vidámabbá teszi az ünnepi időszakot. Vásárolja meg most, és hozza el az ünnepi hangulatot otthonába!</t>
        </is>
      </c>
    </row>
    <row r="1188">
      <c r="A1188" s="3" t="inlineStr">
        <is>
          <t>KDD 31</t>
        </is>
      </c>
      <c r="B1188" s="2" t="inlineStr">
        <is>
          <t>Home KDD 31 táncoló, zenélő mikulás, 30 cm magas</t>
        </is>
      </c>
      <c r="C1188" s="1" t="n">
        <v>6590.0</v>
      </c>
      <c r="D1188" s="7" t="n">
        <f>HYPERLINK("https://www.somogyi.hu/product/home-kdd-31-tancolo-zenelo-mikulas-30-cm-magas-kdd-31-13984","https://www.somogyi.hu/product/home-kdd-31-tancolo-zenelo-mikulas-30-cm-magas-kdd-31-13984")</f>
        <v>0.0</v>
      </c>
      <c r="E1188" s="7" t="n">
        <f>HYPERLINK("https://www.somogyi.hu/data/img/product_main_images/small/13984.jpg","https://www.somogyi.hu/data/img/product_main_images/small/13984.jpg")</f>
        <v>0.0</v>
      </c>
      <c r="F1188" s="2" t="inlineStr">
        <is>
          <t>5999084920364</t>
        </is>
      </c>
      <c r="G1188" s="4" t="inlineStr">
        <is>
          <t>A kisgyermekek kedvenc játéka lesz a zenére táncoló Mikulás.  A KDD 31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89">
      <c r="A1189" s="3" t="inlineStr">
        <is>
          <t>KDD 32</t>
        </is>
      </c>
      <c r="B1189" s="2" t="inlineStr">
        <is>
          <t>Home KDD 32 táncoló, zenélő mikulás, 30 cm magas</t>
        </is>
      </c>
      <c r="C1189" s="1" t="n">
        <v>6590.0</v>
      </c>
      <c r="D1189" s="7" t="n">
        <f>HYPERLINK("https://www.somogyi.hu/product/home-kdd-32-tancolo-zenelo-mikulas-30-cm-magas-kdd-32-13985","https://www.somogyi.hu/product/home-kdd-32-tancolo-zenelo-mikulas-30-cm-magas-kdd-32-13985")</f>
        <v>0.0</v>
      </c>
      <c r="E1189" s="7" t="n">
        <f>HYPERLINK("https://www.somogyi.hu/data/img/product_main_images/small/13985.jpg","https://www.somogyi.hu/data/img/product_main_images/small/13985.jpg")</f>
        <v>0.0</v>
      </c>
      <c r="F1189" s="2" t="inlineStr">
        <is>
          <t>5999084920371</t>
        </is>
      </c>
      <c r="G1189" s="4" t="inlineStr">
        <is>
          <t>A kisgyermekek kedvenc játéka lesz a zenére táncoló Mikulás.  A KDD 32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90">
      <c r="A1190" s="3" t="inlineStr">
        <is>
          <t>KDD 39</t>
        </is>
      </c>
      <c r="B1190" s="2" t="inlineStr">
        <is>
          <t>Home KDD 39 éneklő, táncoló fenyő, 40 cm magas</t>
        </is>
      </c>
      <c r="C1190" s="1" t="n">
        <v>10890.0</v>
      </c>
      <c r="D1190" s="7" t="n">
        <f>HYPERLINK("https://www.somogyi.hu/product/home-kdd-39-eneklo-tancolo-fenyo-40-cm-magas-kdd-39-17331","https://www.somogyi.hu/product/home-kdd-39-eneklo-tancolo-fenyo-40-cm-magas-kdd-39-17331")</f>
        <v>0.0</v>
      </c>
      <c r="E1190" s="7" t="n">
        <f>HYPERLINK("https://www.somogyi.hu/data/img/product_main_images/small/17331.jpg","https://www.somogyi.hu/data/img/product_main_images/small/17331.jpg")</f>
        <v>0.0</v>
      </c>
      <c r="F1190" s="2" t="inlineStr">
        <is>
          <t>5999084953539</t>
        </is>
      </c>
      <c r="G1190" s="4" t="inlineStr">
        <is>
          <t>Szeretne egy igazán egyedi és szórakoztató díszt karácsonyra vagy akár az év bármely más időszakára? A Home KDD 39 táncoló fenyő tökéletes választás, ha egy különleges és interaktív dekorációt keres, ami garantáltan mosolyt csal mindenki arcára.
Ez a vidám kis fenyő nemcsak énekel, hanem táncmozdulatokat is végez, így azonnal felvidítja a hangulatot. A fenyő karjai szabadon beállíthatóak, így különböző pozíciókban helyezhető el, ami még több szórakozást nyújt. Legyen szó karácsonyi összejövetelről, gyermekzsúrról vagy akár csak egy vidám estéről a családdal, ez a táncoló fenyő minden alkalomra tökéletes választás.
A tápellátását 3 x 1,5 V (AA) elem biztosítja, amelyek nem tartoznak a csomaghoz, így külön megvásárolhatóak. Ennek köszönhetően a fenyő könnyen üzembe helyezhető és hordozható, így bármelyik helyiségben felállítható.
Válassza a Home KDD 39 táncoló fenyőt, ha egy vidám és interaktív dekorációs elemet keres, ami garantáltan emeli az ünnepi hangulatot. Rendelje meg most, és hozzon egy kis varázslatot az otthonába ezzel a táncoló és éneklő fenyővel!</t>
        </is>
      </c>
    </row>
    <row r="1191">
      <c r="A1191" s="6" t="inlineStr">
        <is>
          <t xml:space="preserve">   Karácsonyi dekorációs világítás / Kivetítő</t>
        </is>
      </c>
      <c r="B1191" s="6" t="inlineStr">
        <is>
          <t/>
        </is>
      </c>
      <c r="C1191" s="6" t="inlineStr">
        <is>
          <t/>
        </is>
      </c>
      <c r="D1191" s="6" t="inlineStr">
        <is>
          <t/>
        </is>
      </c>
      <c r="E1191" s="6" t="inlineStr">
        <is>
          <t/>
        </is>
      </c>
      <c r="F1191" s="6" t="inlineStr">
        <is>
          <t/>
        </is>
      </c>
      <c r="G1191" s="6" t="inlineStr">
        <is>
          <t/>
        </is>
      </c>
    </row>
    <row r="1192">
      <c r="A1192" s="3" t="inlineStr">
        <is>
          <t>DL IP 9</t>
        </is>
      </c>
      <c r="B1192" s="2" t="inlineStr">
        <is>
          <t>Lézerprojektor</t>
        </is>
      </c>
      <c r="C1192" s="1" t="n">
        <v>15590.0</v>
      </c>
      <c r="D1192" s="7" t="n">
        <f>HYPERLINK("https://www.somogyi.hu/product/lezerprojektor-dl-ip-9-16501","https://www.somogyi.hu/product/lezerprojektor-dl-ip-9-16501")</f>
        <v>0.0</v>
      </c>
      <c r="E1192" s="7" t="n">
        <f>HYPERLINK("https://www.somogyi.hu/data/img/product_main_images/small/16501.jpg","https://www.somogyi.hu/data/img/product_main_images/small/16501.jpg")</f>
        <v>0.0</v>
      </c>
      <c r="F1192" s="2" t="inlineStr">
        <is>
          <t>5999084945336</t>
        </is>
      </c>
      <c r="G1192" s="4" t="inlineStr">
        <is>
          <t>Lézerprojektor szikrázóan ragyogó fényeffekttel, 9-féle lézerprogrammal, piros és zöld lézerfénnyel. Termékünk 10 méter vetítési távolságból, 50 m2-es felületet vetít be. Kül- és beltéren egyaránt használható IP44-es védettségű kültéri adaptere és hőtűrő-képessége (-10 °C - +35°C) miatt.</t>
        </is>
      </c>
    </row>
    <row r="1193">
      <c r="A1193" s="3" t="inlineStr">
        <is>
          <t>DL IP 6</t>
        </is>
      </c>
      <c r="B1193" s="2" t="inlineStr">
        <is>
          <t>LED projektor</t>
        </is>
      </c>
      <c r="C1193" s="1" t="n">
        <v>11490.0</v>
      </c>
      <c r="D1193" s="7" t="n">
        <f>HYPERLINK("https://www.somogyi.hu/product/led-projektor-dl-ip-6-16086","https://www.somogyi.hu/product/led-projektor-dl-ip-6-16086")</f>
        <v>0.0</v>
      </c>
      <c r="E1193" s="7" t="n">
        <f>HYPERLINK("https://www.somogyi.hu/data/img/product_main_images/small/16086.jpg","https://www.somogyi.hu/data/img/product_main_images/small/16086.jpg")</f>
        <v>0.0</v>
      </c>
      <c r="F1193" s="2" t="inlineStr">
        <is>
          <t>5999084941185</t>
        </is>
      </c>
      <c r="G1193" s="4" t="inlineStr">
        <is>
          <t xml:space="preserve"> • elhelyezhetőség: kültéri / beltéri 
 • fényforrás: 1 db nagy fényerejű, hidegfehér LED 
 • teljesítmény: 5 W 
 • funkciók: mozgó rénszarvas-szánt vetít a falra 
 • vetítési távolság 15 m 
 • vetített felület 20 mm2 
 • állítható vetítési szög 
 • méret: Ø9 cm x 14 cm   10cm állvány/ 22cm leszúrótüske 
 • tápellátás: 230 V~ (adapteres) 
 • egyéb: földbe leszúrható vagy sík felületre helyezhető</t>
        </is>
      </c>
    </row>
    <row r="1194">
      <c r="A1194" s="3" t="inlineStr">
        <is>
          <t>DL IP 8</t>
        </is>
      </c>
      <c r="B1194" s="2" t="inlineStr">
        <is>
          <t>Home DL IP 8 lézerprojektor, 8 fényeffekt, piros és zöld lézer, 3 lábú állvány, IP44, kültéri, beltéri</t>
        </is>
      </c>
      <c r="C1194" s="1" t="n">
        <v>15590.0</v>
      </c>
      <c r="D1194" s="7" t="n">
        <f>HYPERLINK("https://www.somogyi.hu/product/home-dl-ip-8-lezerprojektor-8-fenyeffekt-piros-es-zold-lezer-3-labu-allvany-ip44-kulteri-belteri-dl-ip-8-16084","https://www.somogyi.hu/product/home-dl-ip-8-lezerprojektor-8-fenyeffekt-piros-es-zold-lezer-3-labu-allvany-ip44-kulteri-belteri-dl-ip-8-16084")</f>
        <v>0.0</v>
      </c>
      <c r="E1194" s="7" t="n">
        <f>HYPERLINK("https://www.somogyi.hu/data/img/product_main_images/small/16084.jpg","https://www.somogyi.hu/data/img/product_main_images/small/16084.jpg")</f>
        <v>0.0</v>
      </c>
      <c r="F1194" s="2" t="inlineStr">
        <is>
          <t>5999084941161</t>
        </is>
      </c>
      <c r="G1194" s="4" t="inlineStr">
        <is>
          <t>Varázslatos fényjáték az év minden napjára - Ismerje meg a DL IP 8 Lézerprojektort! 
Unja már a hosszas karácsonyi díszítést? Vágyna valami egyszerűbbre, mégis látványosabbra? A DL IP 8 Lézerprojektor ideális választás mindazok számára, akik szeretnék feldobni az ünnepi dekorációt, de nem szeretnének órákat eltölteni a felállítással. Legyen szó beltéri vagy kültéri használatról, a 8 különböző karácsonyi fényeffekt között választva egy pillanat alatt átalakíthatja otthona hangulatát, a folyamatos piros és zöld lézerfények pedig varázslatos fényjátékot teremtenek. 
A DL IP 8 Lézerprojektor azonban több, mint csupán fényjáték. Rugalmasan használható: leszúrható a talajba, vagy akár a 3-lábú állványra is helyezhető. Az IP44-es kültéri adapternek és a 0,9 m hosszú tápvezetéknek köszönhetően könnyedén csatlakoztathatja a hálózathoz, így bármilyen időjárási viszonyok között biztonságosan működhet. 
Tegye varázslatossá az ünnepi időszakot a DL IP 8 Lézerprojektorral, és teremtsen egyedi fényekkel teli atmoszférát otthonában vagy kertjében!</t>
        </is>
      </c>
    </row>
    <row r="1195">
      <c r="A1195" s="6" t="inlineStr">
        <is>
          <t xml:space="preserve">   Karácsonyi dekorációs világítás / Pótizzó</t>
        </is>
      </c>
      <c r="B1195" s="6" t="inlineStr">
        <is>
          <t/>
        </is>
      </c>
      <c r="C1195" s="6" t="inlineStr">
        <is>
          <t/>
        </is>
      </c>
      <c r="D1195" s="6" t="inlineStr">
        <is>
          <t/>
        </is>
      </c>
      <c r="E1195" s="6" t="inlineStr">
        <is>
          <t/>
        </is>
      </c>
      <c r="F1195" s="6" t="inlineStr">
        <is>
          <t/>
        </is>
      </c>
      <c r="G1195" s="6" t="inlineStr">
        <is>
          <t/>
        </is>
      </c>
    </row>
    <row r="1196">
      <c r="A1196" s="3" t="inlineStr">
        <is>
          <t>L 7D</t>
        </is>
      </c>
      <c r="B1196" s="2" t="inlineStr">
        <is>
          <t>Home L 7D pótizzó, KAD 01, KAD 02, KAD 03, fehér, 3 db</t>
        </is>
      </c>
      <c r="C1196" s="1" t="n">
        <v>769.0</v>
      </c>
      <c r="D1196" s="7" t="n">
        <f>HYPERLINK("https://www.somogyi.hu/product/home-l-7d-potizzo-kad-01-kad-02-kad-03-feher-3-db-l-7d-4935","https://www.somogyi.hu/product/home-l-7d-potizzo-kad-01-kad-02-kad-03-feher-3-db-l-7d-4935")</f>
        <v>0.0</v>
      </c>
      <c r="E1196" s="7" t="n">
        <f>HYPERLINK("https://www.somogyi.hu/data/img/product_main_images/small/04935.jpg","https://www.somogyi.hu/data/img/product_main_images/small/04935.jpg")</f>
        <v>0.0</v>
      </c>
      <c r="F1196" s="2" t="inlineStr">
        <is>
          <t>5998312743577</t>
        </is>
      </c>
      <c r="G1196" s="4" t="inlineStr">
        <is>
          <t>Pótizzó ablakívhez. Kitűnő választás KAD 1, KAD 2, KAD 3 modellekhez.</t>
        </is>
      </c>
    </row>
    <row r="1197">
      <c r="A1197" s="3" t="inlineStr">
        <is>
          <t>L 2040C/E10</t>
        </is>
      </c>
      <c r="B1197" s="2" t="inlineStr">
        <is>
          <t>Home L 2040C/E10 pótizzó, KAD 07, KAD 07/RD, gyertyaláng, 3 db</t>
        </is>
      </c>
      <c r="C1197" s="1" t="n">
        <v>1490.0</v>
      </c>
      <c r="D1197" s="7" t="n">
        <f>HYPERLINK("https://www.somogyi.hu/product/home-l-2040c-e10-potizzo-kad-07-kad-07-rd-gyertyalang-3-db-l-2040c-e10-10270","https://www.somogyi.hu/product/home-l-2040c-e10-potizzo-kad-07-kad-07-rd-gyertyalang-3-db-l-2040c-e10-10270")</f>
        <v>0.0</v>
      </c>
      <c r="E1197" s="7" t="n">
        <f>HYPERLINK("https://www.somogyi.hu/data/img/product_main_images/small/10270.jpg","https://www.somogyi.hu/data/img/product_main_images/small/10270.jpg")</f>
        <v>0.0</v>
      </c>
      <c r="F1197" s="2" t="inlineStr">
        <is>
          <t>5998312788790</t>
        </is>
      </c>
      <c r="G1197" s="4" t="inlineStr">
        <is>
          <t xml:space="preserve"> • szín: gyertyaláng 
 • feszültség: 230 V 
 • teljesítmény: 1,3 W 
 • kompatibilitás: KAD 07, KAD 07/RD 
 • foglalat: E10</t>
        </is>
      </c>
    </row>
    <row r="1198">
      <c r="A1198" s="3" t="inlineStr">
        <is>
          <t>L 16L</t>
        </is>
      </c>
      <c r="B1198" s="2" t="inlineStr">
        <is>
          <t>Home L 16L pótizzó, KI 16L, melegfehér, 3 db</t>
        </is>
      </c>
      <c r="C1198" s="1" t="n">
        <v>719.0</v>
      </c>
      <c r="D1198" s="7" t="n">
        <f>HYPERLINK("https://www.somogyi.hu/product/home-l-16l-potizzo-ki-16l-melegfeher-3-db-l-16l-12111","https://www.somogyi.hu/product/home-l-16l-potizzo-ki-16l-melegfeher-3-db-l-16l-12111")</f>
        <v>0.0</v>
      </c>
      <c r="E1198" s="7" t="n">
        <f>HYPERLINK("https://www.somogyi.hu/data/img/product_main_images/small/12111.jpg","https://www.somogyi.hu/data/img/product_main_images/small/12111.jpg")</f>
        <v>0.0</v>
      </c>
      <c r="F1198" s="2" t="inlineStr">
        <is>
          <t>5999084903237</t>
        </is>
      </c>
      <c r="G1198" s="4" t="inlineStr">
        <is>
          <t xml:space="preserve"> • szín: melegfehér 
 • feszültség: 3 V 
 • teljesítmény: 0,06 W 
 • kompatibilitás: KI 16L</t>
        </is>
      </c>
    </row>
    <row r="1199">
      <c r="A1199" s="3" t="inlineStr">
        <is>
          <t>L 16KL</t>
        </is>
      </c>
      <c r="B1199" s="2" t="inlineStr">
        <is>
          <t>Home L 16KL pótizzó, KIK 16L, melegfehér, 3 db</t>
        </is>
      </c>
      <c r="C1199" s="1" t="n">
        <v>309.0</v>
      </c>
      <c r="D1199" s="7" t="n">
        <f>HYPERLINK("https://www.somogyi.hu/product/home-l-16kl-potizzo-kik-16l-melegfeher-3-db-l-16kl-12113","https://www.somogyi.hu/product/home-l-16kl-potizzo-kik-16l-melegfeher-3-db-l-16kl-12113")</f>
        <v>0.0</v>
      </c>
      <c r="E1199" s="7" t="n">
        <f>HYPERLINK("https://www.somogyi.hu/data/img/product_main_images/small/12113.jpg","https://www.somogyi.hu/data/img/product_main_images/small/12113.jpg")</f>
        <v>0.0</v>
      </c>
      <c r="F1199" s="2" t="inlineStr">
        <is>
          <t>5999084903251</t>
        </is>
      </c>
      <c r="G1199" s="4" t="inlineStr">
        <is>
          <t xml:space="preserve"> • szín: piros 
 • feszültség: 3,3 V 
 • teljesítmény: 0,066 W 
 • kompatibilitás: KIK 16/L</t>
        </is>
      </c>
    </row>
    <row r="1200">
      <c r="A1200" s="3" t="inlineStr">
        <is>
          <t>L 4104</t>
        </is>
      </c>
      <c r="B1200" s="2" t="inlineStr">
        <is>
          <t>Pótizzó G 4104/4102/4101 típusokhoz</t>
        </is>
      </c>
      <c r="C1200" s="1" t="n">
        <v>839.0</v>
      </c>
      <c r="D1200" s="7" t="n">
        <f>HYPERLINK("https://www.somogyi.hu/product/potizzo-g-4104-4102-4101-tipusokhoz-l-4104-4615","https://www.somogyi.hu/product/potizzo-g-4104-4102-4101-tipusokhoz-l-4104-4615")</f>
        <v>0.0</v>
      </c>
      <c r="E1200" s="7" t="n">
        <f>HYPERLINK("https://www.somogyi.hu/data/img/product_main_images/small/04615.jpg","https://www.somogyi.hu/data/img/product_main_images/small/04615.jpg")</f>
        <v>0.0</v>
      </c>
      <c r="F1200" s="2" t="inlineStr">
        <is>
          <t>5998312740712</t>
        </is>
      </c>
      <c r="G1200" s="4" t="inlineStr">
        <is>
          <t xml:space="preserve"> • szín: fehér 
 • kompatibilitás: G 4104</t>
        </is>
      </c>
    </row>
    <row r="1201">
      <c r="A1201" s="6" t="inlineStr">
        <is>
          <t xml:space="preserve">   Karácsonyi dekorációs világítás / Halloween</t>
        </is>
      </c>
      <c r="B1201" s="6" t="inlineStr">
        <is>
          <t/>
        </is>
      </c>
      <c r="C1201" s="6" t="inlineStr">
        <is>
          <t/>
        </is>
      </c>
      <c r="D1201" s="6" t="inlineStr">
        <is>
          <t/>
        </is>
      </c>
      <c r="E1201" s="6" t="inlineStr">
        <is>
          <t/>
        </is>
      </c>
      <c r="F1201" s="6" t="inlineStr">
        <is>
          <t/>
        </is>
      </c>
      <c r="G1201" s="6" t="inlineStr">
        <is>
          <t/>
        </is>
      </c>
    </row>
    <row r="1202">
      <c r="A1202" s="3" t="inlineStr">
        <is>
          <t>HTT 40</t>
        </is>
      </c>
      <c r="B1202" s="2" t="inlineStr">
        <is>
          <t>Home HTT 40 halloween fa, denevérekkel, 70 cm, 40 narancs színű LED, beltéri</t>
        </is>
      </c>
      <c r="C1202" s="1" t="n">
        <v>6090.0</v>
      </c>
      <c r="D1202" s="7" t="n">
        <f>HYPERLINK("https://www.somogyi.hu/product/home-htt-40-halloween-fa-deneverekkel-70-cm-40-narancs-szinu-led-belteri-htt-40-16980","https://www.somogyi.hu/product/home-htt-40-halloween-fa-deneverekkel-70-cm-40-narancs-szinu-led-belteri-htt-40-16980")</f>
        <v>0.0</v>
      </c>
      <c r="E1202" s="7" t="n">
        <f>HYPERLINK("https://www.somogyi.hu/data/img/product_main_images/small/16980.jpg","https://www.somogyi.hu/data/img/product_main_images/small/16980.jpg")</f>
        <v>0.0</v>
      </c>
      <c r="F1202" s="2" t="inlineStr">
        <is>
          <t>5999084950125</t>
        </is>
      </c>
      <c r="G1202" s="4" t="inlineStr">
        <is>
          <t xml:space="preserve"> • kültéri / beltéri: beltéri 
 • beépített világítás: 40 db narancsszínű LED 
 • anyaga: műanyag 
 • tápellátás: 3 x 1,5 V (AA) elem, nem tartozék 
 • méret: 10 x 10 (talp) x 70 cm</t>
        </is>
      </c>
    </row>
    <row r="1203">
      <c r="A1203" s="6" t="inlineStr">
        <is>
          <t xml:space="preserve">   Karácsonyi dekorációs világítás / Karácsonyfa talp</t>
        </is>
      </c>
      <c r="B1203" s="6" t="inlineStr">
        <is>
          <t/>
        </is>
      </c>
      <c r="C1203" s="6" t="inlineStr">
        <is>
          <t/>
        </is>
      </c>
      <c r="D1203" s="6" t="inlineStr">
        <is>
          <t/>
        </is>
      </c>
      <c r="E1203" s="6" t="inlineStr">
        <is>
          <t/>
        </is>
      </c>
      <c r="F1203" s="6" t="inlineStr">
        <is>
          <t/>
        </is>
      </c>
      <c r="G1203" s="6" t="inlineStr">
        <is>
          <t/>
        </is>
      </c>
    </row>
    <row r="1204">
      <c r="A1204" s="3" t="inlineStr">
        <is>
          <t>CTH 02</t>
        </is>
      </c>
      <c r="B1204" s="2" t="inlineStr">
        <is>
          <t>Home CTH 02 karácsonyfatalp, max. 2,1 m magas fához, 1,6 l víztartály, 50 - 105 mm átmérőhöz, beltéri</t>
        </is>
      </c>
      <c r="C1204" s="1" t="n">
        <v>6090.0</v>
      </c>
      <c r="D1204" s="7" t="n">
        <f>HYPERLINK("https://www.somogyi.hu/product/home-cth-02-karacsonyfatalp-max-2-1-m-magas-fahoz-1-6-l-viztartaly-50-105-mm-atmerohoz-belteri-cth-02-16989","https://www.somogyi.hu/product/home-cth-02-karacsonyfatalp-max-2-1-m-magas-fahoz-1-6-l-viztartaly-50-105-mm-atmerohoz-belteri-cth-02-16989")</f>
        <v>0.0</v>
      </c>
      <c r="E1204" s="7" t="n">
        <f>HYPERLINK("https://www.somogyi.hu/data/img/product_main_images/small/16989.jpg","https://www.somogyi.hu/data/img/product_main_images/small/16989.jpg")</f>
        <v>0.0</v>
      </c>
      <c r="F1204" s="2" t="inlineStr">
        <is>
          <t>5999084950217</t>
        </is>
      </c>
      <c r="G1204" s="4" t="inlineStr">
        <is>
          <t>Támogassa karácsonyi dekorációját a CTH 02 karácsonyfatalppal, amely praktikus és megbízható választás a tökéletes karácsonyfa megjelenítéséhez. 
Ezt a beltéri használatra tervezett talpat a maximális kényelem és stabilitás jellemzi, ideális akár 2,1 méter magas fákhoz. 
A fatörzs lehetséges átmérőjének tartománya 50 és 105 mm között mozog, így sokféle méretű karácsonyfához használható. 
A CTH 02 karácsonyfatartó víztartályában 1,6 literes kapacitással lehetőség nyílik az élő fák vízellátásának biztosítására is, hogy karácsonyfája mindig friss és látványos legyen az ünnepek alatt. 
A sötétzöld műanyag kialakítás nem csak praktikus, de elegánsan illeszkedik bármilyen karácsonyi díszítéshez is. 
Válassza a CTH 02 karácsonyfatalpat, hogy még szebbé és meghittebbé tegye a karácsonyi ünnepeket!</t>
        </is>
      </c>
    </row>
    <row r="1205">
      <c r="A1205" s="6" t="inlineStr">
        <is>
          <t xml:space="preserve">   Karácsonyi dekorációs világítás / Felfújható figura</t>
        </is>
      </c>
      <c r="B1205" s="6" t="inlineStr">
        <is>
          <t/>
        </is>
      </c>
      <c r="C1205" s="6" t="inlineStr">
        <is>
          <t/>
        </is>
      </c>
      <c r="D1205" s="6" t="inlineStr">
        <is>
          <t/>
        </is>
      </c>
      <c r="E1205" s="6" t="inlineStr">
        <is>
          <t/>
        </is>
      </c>
      <c r="F1205" s="6" t="inlineStr">
        <is>
          <t/>
        </is>
      </c>
      <c r="G1205" s="6" t="inlineStr">
        <is>
          <t/>
        </is>
      </c>
    </row>
    <row r="1206">
      <c r="A1206" s="3" t="inlineStr">
        <is>
          <t>KD 90 T</t>
        </is>
      </c>
      <c r="B1206" s="2" t="inlineStr">
        <is>
          <t>Home KD 90 T felfújható halloween tökrakás, LED világítással, beépített ventilátor, kül- és beltéri kivitel</t>
        </is>
      </c>
      <c r="C1206" s="1" t="n">
        <v>22090.0</v>
      </c>
      <c r="D1206" s="7" t="n">
        <f>HYPERLINK("https://www.somogyi.hu/product/home-kd-90-t-felfujhato-halloween-tokrakas-led-vilagitassal-beepitett-ventilator-kul-es-belteri-kivitel-kd-90-t-17365","https://www.somogyi.hu/product/home-kd-90-t-felfujhato-halloween-tokrakas-led-vilagitassal-beepitett-ventilator-kul-es-belteri-kivitel-kd-90-t-17365")</f>
        <v>0.0</v>
      </c>
      <c r="E1206" s="7" t="n">
        <f>HYPERLINK("https://www.somogyi.hu/data/img/product_main_images/small/17365.jpg","https://www.somogyi.hu/data/img/product_main_images/small/17365.jpg")</f>
        <v>0.0</v>
      </c>
      <c r="F1206" s="2" t="inlineStr">
        <is>
          <t>5999084953874</t>
        </is>
      </c>
      <c r="G1206"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86 x 41 x 91 cm</t>
        </is>
      </c>
    </row>
    <row r="1207">
      <c r="A1207" s="3" t="inlineStr">
        <is>
          <t>KD 180 T</t>
        </is>
      </c>
      <c r="B1207" s="2" t="inlineStr">
        <is>
          <t>Home KD 180 T felfújható halloween tök, 183 cm, belső LED projektorral, beépített ventilátor, kül- és beltéri</t>
        </is>
      </c>
      <c r="C1207" s="1" t="n">
        <v>48790.0</v>
      </c>
      <c r="D1207" s="7" t="n">
        <f>HYPERLINK("https://www.somogyi.hu/product/home-kd-180-t-felfujhato-halloween-tok-183-cm-belso-led-projektorral-beepitett-ventilator-kul-es-belteri-kd-180-t-17363","https://www.somogyi.hu/product/home-kd-180-t-felfujhato-halloween-tok-183-cm-belso-led-projektorral-beepitett-ventilator-kul-es-belteri-kd-180-t-17363")</f>
        <v>0.0</v>
      </c>
      <c r="E1207" s="7" t="n">
        <f>HYPERLINK("https://www.somogyi.hu/data/img/product_main_images/small/17363.jpg","https://www.somogyi.hu/data/img/product_main_images/small/17363.jpg")</f>
        <v>0.0</v>
      </c>
      <c r="F1207" s="2" t="inlineStr">
        <is>
          <t>5999084953850</t>
        </is>
      </c>
      <c r="G1207" s="4" t="inlineStr">
        <is>
          <t xml:space="preserve"> • kültéri / beltéri: kültéri / beltéri 
 • beépített ventilátor: van 
 • beépített világítás: LED 
 • víz elleni védettség: IPX1- es figura: függőlegesen csepegő víz ellen védett 
 • tartozék: tartozék 4 db leszúrótüske és 2 db rögzítőzsinór 
 • tápellátás: kültéri hálózati adapter (tartozék) 
 • tápkábel hossza: ~ 180 cm 
 • méret: ∅94 cm, 183 cm</t>
        </is>
      </c>
    </row>
    <row r="1208">
      <c r="A1208" s="3" t="inlineStr">
        <is>
          <t>KD 240 K</t>
        </is>
      </c>
      <c r="B1208" s="2" t="inlineStr">
        <is>
          <t>Home KD 240 K felfújható karácsonyfa, LED projektor, villogó LED, beépített ventilátor, 6 db leszúró, kültéri, beltéri</t>
        </is>
      </c>
      <c r="C1208" s="1" t="n">
        <v>47290.0</v>
      </c>
      <c r="D1208" s="7" t="n">
        <f>HYPERLINK("https://www.somogyi.hu/product/home-kd-240-k-felfujhato-karacsonyfa-led-projektor-villogo-led-beepitett-ventilator-6-db-leszuro-kulteri-belteri-kd-240-k-17366","https://www.somogyi.hu/product/home-kd-240-k-felfujhato-karacsonyfa-led-projektor-villogo-led-beepitett-ventilator-6-db-leszuro-kulteri-belteri-kd-240-k-17366")</f>
        <v>0.0</v>
      </c>
      <c r="E1208" s="7" t="n">
        <f>HYPERLINK("https://www.somogyi.hu/data/img/product_main_images/small/17366.jpg","https://www.somogyi.hu/data/img/product_main_images/small/17366.jpg")</f>
        <v>0.0</v>
      </c>
      <c r="F1208" s="2" t="inlineStr">
        <is>
          <t>5999084953881</t>
        </is>
      </c>
      <c r="G1208" s="4" t="inlineStr">
        <is>
          <t>Tegye varázslatossá az ünnepi szezont a KD 240 K felfújható karácsonyfával! Hozza el az ünnepi fények és a hangulatot a szabadba vagy a belső terekbe. 
Ez a felfújható karácsonyfa ellenáll a havazásnak és a csepegő esőnek is. A belső LED projektor és a villogó LED-ek még látványosabbá teszik a díszítést, és varázslatos fényekkel öltöztetik fel a környezetet. A beépített ventilátor pillanatok alatt felfújja a karácsonyfát, így könnyedén és gyorsan kész a dekoráció. A csomag tartalmaz 6 db leszúrótüskét és 3 db rögzítőzsinórt is, hogy stabilan rögzíthető legyen bármilyen felületen. 
A kültéri hálózati adapter és az 1,8 m hosszú adaptervezeték gondoskodik a megbízható tápellátásról. Vonzza a tekinteteket és varázsoljon ünnepi hangulatot a KD 240 K felfújható karácsonyfával, mely mindenkit elbűvöl!</t>
        </is>
      </c>
    </row>
    <row r="1209">
      <c r="A1209" s="3" t="inlineStr">
        <is>
          <t>KD 240 M</t>
        </is>
      </c>
      <c r="B1209" s="2" t="inlineStr">
        <is>
          <t>Home KD 240 M felfújható mikulás, 3 db LED, beépített ventilátor, 6 db leszúró, kültéri, beltéri</t>
        </is>
      </c>
      <c r="C1209" s="1" t="n">
        <v>44990.0</v>
      </c>
      <c r="D1209" s="7" t="n">
        <f>HYPERLINK("https://www.somogyi.hu/product/home-kd-240-m-felfujhato-mikulas-3-db-led-beepitett-ventilator-6-db-leszuro-kulteri-belteri-kd-240-m-17012","https://www.somogyi.hu/product/home-kd-240-m-felfujhato-mikulas-3-db-led-beepitett-ventilator-6-db-leszuro-kulteri-belteri-kd-240-m-17012")</f>
        <v>0.0</v>
      </c>
      <c r="E1209" s="7" t="n">
        <f>HYPERLINK("https://www.somogyi.hu/data/img/product_main_images/small/17012.jpg","https://www.somogyi.hu/data/img/product_main_images/small/17012.jpg")</f>
        <v>0.0</v>
      </c>
      <c r="F1209" s="2" t="inlineStr">
        <is>
          <t>5999084950446</t>
        </is>
      </c>
      <c r="G1209" s="4" t="inlineStr">
        <is>
          <t>Ünnepi varázslat a KD 240 M felfújható Mikulással! Teremtse meg az ünnepi hangulatot, legyen az kint a szabadban vagy otthonában. 
Ez a felfújható Mikulás ellenáll a havazásnak és a csepegő esőnek is. A 3 fehér LED fénye még ünnepibbé varázsolja a környezetet, éjjel és nappal. A beépített ventilátor segítségével villámgyorsan felfújhatja a Mikulást, így kevesebb időt tölt majd készülődéssel és többet ünnepléssel. A csomagban található 6 db leszúrótüske és 3 x 2 m rögzítőzsinór biztosítja a stabil rögzítést, bármilyen területen is helyezze el. A kültéri hálózati adapter és az 1,8 m hosszú adaptervezeték gondoskodik arról, hogy a Mikulás mindig ragyogjon. 
Élvezze a család és a barátok reakcióit, amikor meglátják ezt a varázslatos dekorációt az ünnepi időszakban!</t>
        </is>
      </c>
    </row>
    <row r="1210">
      <c r="A1210" s="3" t="inlineStr">
        <is>
          <t>KD 120 H</t>
        </is>
      </c>
      <c r="B1210" s="2" t="inlineStr">
        <is>
          <t>Home KD 120 H felfújható hóember, 3 db LED, beépített ventilátor, 4 db leszúró, kültéri, beltéri</t>
        </is>
      </c>
      <c r="C1210" s="1" t="n">
        <v>20890.0</v>
      </c>
      <c r="D1210" s="7" t="n">
        <f>HYPERLINK("https://www.somogyi.hu/product/home-kd-120-h-felfujhato-hoember-3-db-led-beepitett-ventilator-4-db-leszuro-kulteri-belteri-kd-120-h-17013","https://www.somogyi.hu/product/home-kd-120-h-felfujhato-hoember-3-db-led-beepitett-ventilator-4-db-leszuro-kulteri-belteri-kd-120-h-17013")</f>
        <v>0.0</v>
      </c>
      <c r="E1210" s="7" t="n">
        <f>HYPERLINK("https://www.somogyi.hu/data/img/product_main_images/small/17013.jpg","https://www.somogyi.hu/data/img/product_main_images/small/17013.jpg")</f>
        <v>0.0</v>
      </c>
      <c r="F1210" s="2" t="inlineStr">
        <is>
          <t>5999084950453</t>
        </is>
      </c>
      <c r="G1210" s="4" t="inlineStr">
        <is>
          <t>Tegye még varázslatosabbá az ünnepi időszakot a KD 120 H felfújható hóemberrel! Nem számít, hogy kint vagy bent ünnepel, ez a bájos dekoráció mindenhol mosolyt csal az arcokra. 
Felfújható hóemberünk kiváló minőségű anyagból készült, amely ellenáll a havazásnak és a csepegő esőnek is. 
A 3 db fehér LED világítása még a sötét téli estéken is ragyogó hangulatot teremt. A beépített ventilátor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211">
      <c r="A1211" s="3" t="inlineStr">
        <is>
          <t>KDP 120 H</t>
        </is>
      </c>
      <c r="B1211" s="2" t="inlineStr">
        <is>
          <t>Home KDP 120 H felfújható hóember, 3 db LED, beépített ventilátor, 4 db leszúró, kültéri, beltéri</t>
        </is>
      </c>
      <c r="C1211" s="1" t="n">
        <v>38690.0</v>
      </c>
      <c r="D1211" s="7" t="n">
        <f>HYPERLINK("https://www.somogyi.hu/product/home-kdp-120-h-felfujhato-hoember-3-db-led-beepitett-ventilator-4-db-leszuro-kulteri-belteri-kdp-120-h-17015","https://www.somogyi.hu/product/home-kdp-120-h-felfujhato-hoember-3-db-led-beepitett-ventilator-4-db-leszuro-kulteri-belteri-kdp-120-h-17015")</f>
        <v>0.0</v>
      </c>
      <c r="E1211" s="7" t="n">
        <f>HYPERLINK("https://www.somogyi.hu/data/img/product_main_images/small/17015.jpg","https://www.somogyi.hu/data/img/product_main_images/small/17015.jpg")</f>
        <v>0.0</v>
      </c>
      <c r="F1211" s="2" t="inlineStr">
        <is>
          <t>5999084950477</t>
        </is>
      </c>
      <c r="G1211" s="4" t="inlineStr">
        <is>
          <t>Tegye még varázslatosabbá az ünnepi időszakot a KD 120 H felfújható hóemberrel!  Nem számít, hogy kint vagy bent ünnepel, ez a bájos dekoráció mindenhol mosolyt csal az arcokra. 
Felfújható hóemberünk kiváló minőségű anyagból készült, plüss tapintású felülettel, amely ellenáll a havazásnak és a csepegő esőnek is. 
A 3 db fehér LED világítása még a sötét téli estéken is ragyogó hangulatot teremt. A beépített ventilátor pedig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212">
      <c r="A1212" s="3" t="inlineStr">
        <is>
          <t>KD 150 CS</t>
        </is>
      </c>
      <c r="B1212" s="2" t="inlineStr">
        <is>
          <t>Home KD 150 CS felfújható halloween csontváz, 152 cm, belső LED projektorral, beépített ventilátor, kül- és beltéri</t>
        </is>
      </c>
      <c r="C1212" s="1" t="n">
        <v>33090.0</v>
      </c>
      <c r="D1212" s="7" t="n">
        <f>HYPERLINK("https://www.somogyi.hu/product/home-kd-150-cs-felfujhato-halloween-csontvaz-152-cm-belso-led-projektorral-beepitett-ventilator-kul-es-belteri-kd-150-cs-17364","https://www.somogyi.hu/product/home-kd-150-cs-felfujhato-halloween-csontvaz-152-cm-belso-led-projektorral-beepitett-ventilator-kul-es-belteri-kd-150-cs-17364")</f>
        <v>0.0</v>
      </c>
      <c r="E1212" s="7" t="n">
        <f>HYPERLINK("https://www.somogyi.hu/data/img/product_main_images/small/17364.jpg","https://www.somogyi.hu/data/img/product_main_images/small/17364.jpg")</f>
        <v>0.0</v>
      </c>
      <c r="F1212" s="2" t="inlineStr">
        <is>
          <t>5999084953867</t>
        </is>
      </c>
      <c r="G1212"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61 x 56 x 152 cm</t>
        </is>
      </c>
    </row>
    <row r="1213">
      <c r="A1213" s="6" t="inlineStr">
        <is>
          <t xml:space="preserve">   Barkácsgép / Magasnyomású mosó</t>
        </is>
      </c>
      <c r="B1213" s="6" t="inlineStr">
        <is>
          <t/>
        </is>
      </c>
      <c r="C1213" s="6" t="inlineStr">
        <is>
          <t/>
        </is>
      </c>
      <c r="D1213" s="6" t="inlineStr">
        <is>
          <t/>
        </is>
      </c>
      <c r="E1213" s="6" t="inlineStr">
        <is>
          <t/>
        </is>
      </c>
      <c r="F1213" s="6" t="inlineStr">
        <is>
          <t/>
        </is>
      </c>
      <c r="G1213" s="6" t="inlineStr">
        <is>
          <t/>
        </is>
      </c>
    </row>
    <row r="1214">
      <c r="A1214" s="3" t="inlineStr">
        <is>
          <t>46177</t>
        </is>
      </c>
      <c r="B1214" s="2" t="inlineStr">
        <is>
          <t>Michelin kefe</t>
        </is>
      </c>
      <c r="C1214" s="1" t="n">
        <v>4390.0</v>
      </c>
      <c r="D1214" s="7" t="n">
        <f>HYPERLINK("https://www.somogyi.hu/product/michelin-kefe-46177-17383","https://www.somogyi.hu/product/michelin-kefe-46177-17383")</f>
        <v>0.0</v>
      </c>
      <c r="E1214" s="7" t="n">
        <f>HYPERLINK("https://www.somogyi.hu/data/img/product_main_images/small/17383.jpg","https://www.somogyi.hu/data/img/product_main_images/small/17383.jpg")</f>
        <v>0.0</v>
      </c>
      <c r="F1214" s="2" t="inlineStr">
        <is>
          <t>8016287461771</t>
        </is>
      </c>
      <c r="G1214" s="4" t="inlineStr">
        <is>
          <t>A Michelin kefe fej minden Michelin márkájú magasnyomású mosóval kompatibilis. Ha alapos takarításra van szükség a makacs szennyeződések ellen, akkor a Michelin kefe tartozék fejet válassza a Michelin magasnyomásúja mellé.</t>
        </is>
      </c>
    </row>
    <row r="1215">
      <c r="A1215" s="6" t="inlineStr">
        <is>
          <t xml:space="preserve">   Audio-video kiegészítők / Jel-átalakító</t>
        </is>
      </c>
      <c r="B1215" s="6" t="inlineStr">
        <is>
          <t/>
        </is>
      </c>
      <c r="C1215" s="6" t="inlineStr">
        <is>
          <t/>
        </is>
      </c>
      <c r="D1215" s="6" t="inlineStr">
        <is>
          <t/>
        </is>
      </c>
      <c r="E1215" s="6" t="inlineStr">
        <is>
          <t/>
        </is>
      </c>
      <c r="F1215" s="6" t="inlineStr">
        <is>
          <t/>
        </is>
      </c>
      <c r="G1215" s="6" t="inlineStr">
        <is>
          <t/>
        </is>
      </c>
    </row>
    <row r="1216">
      <c r="A1216" s="3" t="inlineStr">
        <is>
          <t>ATD VIDEO</t>
        </is>
      </c>
      <c r="B1216" s="2" t="inlineStr">
        <is>
          <t>Home ATD VIDEO analóg-digitális videóátalakító, RCA-HDMI, USB-A - miniUSB tápkábel</t>
        </is>
      </c>
      <c r="C1216" s="1" t="n">
        <v>10890.0</v>
      </c>
      <c r="D1216" s="7" t="n">
        <f>HYPERLINK("https://www.somogyi.hu/product/home-atd-video-analog-digitalis-videoatalakito-rca-hdmi-usb-a-miniusb-tapkabel-atd-video-16620","https://www.somogyi.hu/product/home-atd-video-analog-digitalis-videoatalakito-rca-hdmi-usb-a-miniusb-tapkabel-atd-video-16620")</f>
        <v>0.0</v>
      </c>
      <c r="E1216" s="7" t="n">
        <f>HYPERLINK("https://www.somogyi.hu/data/img/product_main_images/small/16620.jpg","https://www.somogyi.hu/data/img/product_main_images/small/16620.jpg")</f>
        <v>0.0</v>
      </c>
      <c r="F1216" s="2" t="inlineStr">
        <is>
          <t>5999084946524</t>
        </is>
      </c>
      <c r="G1216" s="4" t="inlineStr">
        <is>
          <t>Az ATD VIDEO Analóg- digitális videó átalakító alkalmas digitális kimenettel nem rendelkező régi készülékek összekötésére, új digitális bemenettel rendelkező berendezésekkel. 
Csatlakoztassa régi berendezéseit (pl. videó magnó, DVD lejátszó, játékkonzolok, videó kamerák, set top boxok) új tévékhez vagy projektorokhoz. A készülék átalakítja a hagyományos analóg jelet digitális jellé.
3 db RCA csatlakozóaljzatú bemenettel ellátott (kompozit videó és sztereó hang), valamint 1 db HDMI aljzattal. 
Tartozéka a miniUSB- USB A tápkábel.</t>
        </is>
      </c>
    </row>
    <row r="1217">
      <c r="A1217" s="3" t="inlineStr">
        <is>
          <t>DTA AUDIO</t>
        </is>
      </c>
      <c r="B1217" s="2" t="inlineStr">
        <is>
          <t>Home DTA AUDIO digitális-analóg audióátalakító, 2in1 TOSLINK és koaxiális RCA bemenet, 2 RCA kimenet, 1,5m csatlakozókábel</t>
        </is>
      </c>
      <c r="C1217" s="1" t="n">
        <v>10190.0</v>
      </c>
      <c r="D1217" s="7" t="n">
        <f>HYPERLINK("https://www.somogyi.hu/product/home-dta-audio-digitalis-analog-audioatalakito-2in1-toslink-es-koaxialis-rca-bemenet-2-rca-kimenet-1-5m-csatlakozokabel-dta-audio-16890","https://www.somogyi.hu/product/home-dta-audio-digitalis-analog-audioatalakito-2in1-toslink-es-koaxialis-rca-bemenet-2-rca-kimenet-1-5m-csatlakozokabel-dta-audio-16890")</f>
        <v>0.0</v>
      </c>
      <c r="E1217" s="7" t="n">
        <f>HYPERLINK("https://www.somogyi.hu/data/img/product_main_images/small/16890.jpg","https://www.somogyi.hu/data/img/product_main_images/small/16890.jpg")</f>
        <v>0.0</v>
      </c>
      <c r="F1217" s="2" t="inlineStr">
        <is>
          <t>5999084949228</t>
        </is>
      </c>
      <c r="G1217" s="4" t="inlineStr">
        <is>
          <t xml:space="preserve"> • bemenet: optikai TOSLINK + digitális koaxiális RCA 
 • kimenet: 2 x RCA (sztereó) 
 • tartozékok: 1.5 m optikai csatlakozókábel, hálózati adapter (5 V /1 A) 
 • tápellátás: hálózati adapter (5V / 1A), tartozék 
 • méret: 51 x 26 x 41 mm</t>
        </is>
      </c>
    </row>
    <row r="1218">
      <c r="A1218" s="6" t="inlineStr">
        <is>
          <t xml:space="preserve">   Audio-video kiegészítők / HDMI kábel, audio-video kábel</t>
        </is>
      </c>
      <c r="B1218" s="6" t="inlineStr">
        <is>
          <t/>
        </is>
      </c>
      <c r="C1218" s="6" t="inlineStr">
        <is>
          <t/>
        </is>
      </c>
      <c r="D1218" s="6" t="inlineStr">
        <is>
          <t/>
        </is>
      </c>
      <c r="E1218" s="6" t="inlineStr">
        <is>
          <t/>
        </is>
      </c>
      <c r="F1218" s="6" t="inlineStr">
        <is>
          <t/>
        </is>
      </c>
      <c r="G1218" s="6" t="inlineStr">
        <is>
          <t/>
        </is>
      </c>
    </row>
    <row r="1219">
      <c r="A1219" s="3" t="inlineStr">
        <is>
          <t>HDS 1</t>
        </is>
      </c>
      <c r="B1219" s="2" t="inlineStr">
        <is>
          <t>Home HDS 1 HDMI kábel, V1.4, aranyozott, 1m</t>
        </is>
      </c>
      <c r="C1219" s="1" t="n">
        <v>1190.0</v>
      </c>
      <c r="D1219" s="7" t="n">
        <f>HYPERLINK("https://www.somogyi.hu/product/home-hds-1-hdmi-kabel-v1-4-aranyozott-1m-hds-1-14199","https://www.somogyi.hu/product/home-hds-1-hdmi-kabel-v1-4-aranyozott-1m-hds-1-14199")</f>
        <v>0.0</v>
      </c>
      <c r="E1219" s="7" t="n">
        <f>HYPERLINK("https://www.somogyi.hu/data/img/product_main_images/small/14199.jpg","https://www.somogyi.hu/data/img/product_main_images/small/14199.jpg")</f>
        <v>0.0</v>
      </c>
      <c r="F1219" s="2" t="inlineStr">
        <is>
          <t>5999084922474</t>
        </is>
      </c>
      <c r="G1219" s="4" t="inlineStr">
        <is>
          <t>Keresse az igényeinek megfelelő hosszúsággal rendelkező HDMI kábeleket!
A HDS 1 típus masszív kialakítású aranyozott V 1.4 verziójú HDMI kábel. Hosszúsága: 1 méter.
A kábel mindkét végén „A” típusú dugóval rendelkezik. Válassza a minőségi termékeket és rendeljen webáruházunkból.</t>
        </is>
      </c>
    </row>
    <row r="1220">
      <c r="A1220" s="3" t="inlineStr">
        <is>
          <t>STP 2,5</t>
        </is>
      </c>
      <c r="B1220" s="2" t="inlineStr">
        <is>
          <t>Home STP 1,5, STP patch kábel, CAT 8, árnyékolt RJ45, 40 Gbps, 2,5m</t>
        </is>
      </c>
      <c r="C1220" s="1" t="n">
        <v>1350.0</v>
      </c>
      <c r="D1220" s="7" t="n">
        <f>HYPERLINK("https://www.somogyi.hu/product/home-stp-1-5-stp-patch-kabel-cat-8-arnyekolt-rj45-40-gbps-2-5m-stp-2-5-16854","https://www.somogyi.hu/product/home-stp-1-5-stp-patch-kabel-cat-8-arnyekolt-rj45-40-gbps-2-5m-stp-2-5-16854")</f>
        <v>0.0</v>
      </c>
      <c r="E1220" s="7" t="n">
        <f>HYPERLINK("https://www.somogyi.hu/data/img/product_main_images/small/16854.jpg","https://www.somogyi.hu/data/img/product_main_images/small/16854.jpg")</f>
        <v>0.0</v>
      </c>
      <c r="F1220" s="2" t="inlineStr">
        <is>
          <t>5999084948863</t>
        </is>
      </c>
      <c r="G1220" s="4" t="inlineStr">
        <is>
          <t>A Patch kábel segítségével akár 40 gigabit átviteli sebesség érhető el. Visszamenőleg kompatibilis a CAT 6A és CAT 5E komponensekkel. A Patch kábel árnyékolt RJ 45 csatlakozókkal és 2,5 m hosszú kábellel ellátott. UTP kábel helyett is alkalmazható.</t>
        </is>
      </c>
    </row>
    <row r="1221">
      <c r="A1221" s="3" t="inlineStr">
        <is>
          <t>A 4-3X</t>
        </is>
      </c>
      <c r="B1221" s="2" t="inlineStr">
        <is>
          <t>Audió kábel, 3 RCA dugó-3 RCA dugó, 3 m</t>
        </is>
      </c>
      <c r="C1221" s="1" t="n">
        <v>1450.0</v>
      </c>
      <c r="D1221" s="7" t="n">
        <f>HYPERLINK("https://www.somogyi.hu/product/audio-kabel-3-rca-dugo-3-rca-dugo-3-m-a-4-3x-5510","https://www.somogyi.hu/product/audio-kabel-3-rca-dugo-3-rca-dugo-3-m-a-4-3x-5510")</f>
        <v>0.0</v>
      </c>
      <c r="E1221" s="7" t="n">
        <f>HYPERLINK("https://www.somogyi.hu/data/img/product_main_images/small/05510.jpg","https://www.somogyi.hu/data/img/product_main_images/small/05510.jpg")</f>
        <v>0.0</v>
      </c>
      <c r="F1221" s="2" t="inlineStr">
        <is>
          <t>5998312748732</t>
        </is>
      </c>
      <c r="G1221" s="4" t="inlineStr">
        <is>
          <t xml:space="preserve"> • csatlakozók: 4 RCA dugó / 3 RCA dugó 
 • kábel hossza: 3 m 
 • aranyozott: nem 
 • elforgatható: nem 
 • bliszterben: igen</t>
        </is>
      </c>
    </row>
    <row r="1222">
      <c r="A1222" s="3" t="inlineStr">
        <is>
          <t>HD 4K/1,8</t>
        </is>
      </c>
      <c r="B1222" s="2" t="inlineStr">
        <is>
          <t>Home HD 4K/1,8 HDMI kábel, V2.0, aranyozott, 4Kx2K felbontás, 18 Gbps, 60fps, 1,8m</t>
        </is>
      </c>
      <c r="C1222" s="1" t="n">
        <v>2590.0</v>
      </c>
      <c r="D1222" s="7" t="n">
        <f>HYPERLINK("https://www.somogyi.hu/product/home-hd-4k-1-8-hdmi-kabel-v2-0-aranyozott-4kx2k-felbontas-18-gbps-60fps-1-8m-hd-4k-1-8-16440","https://www.somogyi.hu/product/home-hd-4k-1-8-hdmi-kabel-v2-0-aranyozott-4kx2k-felbontas-18-gbps-60fps-1-8m-hd-4k-1-8-16440")</f>
        <v>0.0</v>
      </c>
      <c r="E1222" s="7" t="n">
        <f>HYPERLINK("https://www.somogyi.hu/data/img/product_main_images/small/16440.jpg","https://www.somogyi.hu/data/img/product_main_images/small/16440.jpg")</f>
        <v>0.0</v>
      </c>
      <c r="F1222" s="2" t="inlineStr">
        <is>
          <t>5999084944728</t>
        </is>
      </c>
      <c r="G1222" s="4" t="inlineStr">
        <is>
          <t>A HDMI kábel alkalmas laptopok, asztali PC-k, DVD/Blu-Ray lejátszók, TV-k, játékkonzolok, digitális fényképezőgépek/kamerák, okostelefonokhoz. Ideális HDR és 3D megjelenítéséhez. Az 1,8 m hosszú kábel mindkét végén aranyozott „A” dugó található. V 2.0 verzió és többrétegű árnyékolás jellemzi. 
Hasznos tulajdonsága, hogy 18 Gbit/s nagy adatátviteli sebességgel és UltraHD 4K @ 60 fps ellátott.</t>
        </is>
      </c>
    </row>
    <row r="1223">
      <c r="A1223" s="3" t="inlineStr">
        <is>
          <t>HDS 4,5</t>
        </is>
      </c>
      <c r="B1223" s="2" t="inlineStr">
        <is>
          <t>Home HDS 4,5 HDMI kábel, V1.4, aranyozott, 4,5m</t>
        </is>
      </c>
      <c r="C1223" s="1" t="n">
        <v>1590.0</v>
      </c>
      <c r="D1223" s="7" t="n">
        <f>HYPERLINK("https://www.somogyi.hu/product/home-hds-4-5-hdmi-kabel-v1-4-aranyozott-4-5m-hds-4-5-14201","https://www.somogyi.hu/product/home-hds-4-5-hdmi-kabel-v1-4-aranyozott-4-5m-hds-4-5-14201")</f>
        <v>0.0</v>
      </c>
      <c r="E1223" s="7" t="n">
        <f>HYPERLINK("https://www.somogyi.hu/data/img/product_main_images/small/14201.jpg","https://www.somogyi.hu/data/img/product_main_images/small/14201.jpg")</f>
        <v>0.0</v>
      </c>
      <c r="F1223" s="2" t="inlineStr">
        <is>
          <t>5999084922498</t>
        </is>
      </c>
      <c r="G1223" s="4" t="inlineStr">
        <is>
          <t>Keresse az igényeinek megfelelő hosszúsággal rendelkező HDMI kábeleket!
A HDS 4,5 típus masszív kialakítású aranyozott V 1.4 verziójú HDMI kábel. Hosszúsága: 4,5 méter.
A kábel mindkét végén „A” típusú dugóval rendelkezik. Válassza a minőségi termékeket és rendeljen webáruházunkból.</t>
        </is>
      </c>
    </row>
    <row r="1224">
      <c r="A1224" s="3" t="inlineStr">
        <is>
          <t>A 4X</t>
        </is>
      </c>
      <c r="B1224" s="2" t="inlineStr">
        <is>
          <t>Audió kábel, 3 RCA dugó-3 RCA dugó, 1,5 m</t>
        </is>
      </c>
      <c r="C1224" s="1" t="n">
        <v>1090.0</v>
      </c>
      <c r="D1224" s="7" t="n">
        <f>HYPERLINK("https://www.somogyi.hu/product/audio-kabel-3-rca-dugo-3-rca-dugo-1-5-m-a-4x-5509","https://www.somogyi.hu/product/audio-kabel-3-rca-dugo-3-rca-dugo-1-5-m-a-4x-5509")</f>
        <v>0.0</v>
      </c>
      <c r="E1224" s="7" t="n">
        <f>HYPERLINK("https://www.somogyi.hu/data/img/product_main_images/small/05509.jpg","https://www.somogyi.hu/data/img/product_main_images/small/05509.jpg")</f>
        <v>0.0</v>
      </c>
      <c r="F1224" s="2" t="inlineStr">
        <is>
          <t>5998312748725</t>
        </is>
      </c>
      <c r="G1224" s="4" t="inlineStr">
        <is>
          <t xml:space="preserve"> • csatlakozók: 3 RCA dugó / 3 RCA dugó 
 • kábel hossza: 1,5 m 
 • aranyozott: nem 
 • elforgatható: nem 
 • bliszterben: igen</t>
        </is>
      </c>
    </row>
    <row r="1225">
      <c r="A1225" s="3" t="inlineStr">
        <is>
          <t>HDS 2</t>
        </is>
      </c>
      <c r="B1225" s="2" t="inlineStr">
        <is>
          <t>Home HDS 2 HDMI kábel, V1.4, aranyozott, 2m</t>
        </is>
      </c>
      <c r="C1225" s="1" t="n">
        <v>1290.0</v>
      </c>
      <c r="D1225" s="7" t="n">
        <f>HYPERLINK("https://www.somogyi.hu/product/home-hds-2-hdmi-kabel-v1-4-aranyozott-2m-hds-2-14200","https://www.somogyi.hu/product/home-hds-2-hdmi-kabel-v1-4-aranyozott-2m-hds-2-14200")</f>
        <v>0.0</v>
      </c>
      <c r="E1225" s="7" t="n">
        <f>HYPERLINK("https://www.somogyi.hu/data/img/product_main_images/small/14200.jpg","https://www.somogyi.hu/data/img/product_main_images/small/14200.jpg")</f>
        <v>0.0</v>
      </c>
      <c r="F1225" s="2" t="inlineStr">
        <is>
          <t>5999084922481</t>
        </is>
      </c>
      <c r="G1225" s="4" t="inlineStr">
        <is>
          <t>Keresse az igényeinek megfelelő hosszúsággal rendelkező HDMI kábeleket!
A HDS 2 típus masszív kialakítású aranyozott V 1.4 verziójú HDMI kábel. Hosszúsága: 2 méter.
A kábel mindkét végén „A” típusú dugóval rendelkezik. Válassza a minőségi termékeket és rendeljen webáruházunkból.</t>
        </is>
      </c>
    </row>
    <row r="1226">
      <c r="A1226" s="3" t="inlineStr">
        <is>
          <t>VC 3DX</t>
        </is>
      </c>
      <c r="B1226" s="2" t="inlineStr">
        <is>
          <t>Videókábel, 21 pólusú SCART dugó-21 pólusú SCART dugó, sztereó, 1,5m</t>
        </is>
      </c>
      <c r="C1226" s="1" t="n">
        <v>1390.0</v>
      </c>
      <c r="D1226" s="7" t="n">
        <f>HYPERLINK("https://www.somogyi.hu/product/videokabel-21-polusu-scart-dugo-21-polusu-scart-dugo-sztereo-1-5m-vc-3dx-2167","https://www.somogyi.hu/product/videokabel-21-polusu-scart-dugo-21-polusu-scart-dugo-sztereo-1-5m-vc-3dx-2167")</f>
        <v>0.0</v>
      </c>
      <c r="E1226" s="7" t="n">
        <f>HYPERLINK("https://www.somogyi.hu/data/img/product_main_images/small/02167.jpg","https://www.somogyi.hu/data/img/product_main_images/small/02167.jpg")</f>
        <v>0.0</v>
      </c>
      <c r="F1226" s="2" t="inlineStr">
        <is>
          <t>5998312724316</t>
        </is>
      </c>
      <c r="G1226" s="4" t="inlineStr">
        <is>
          <t xml:space="preserve"> • csatlakozók: scart dugó / scart dugó 
 • kábel hossza: 1,5 m 
 • aranyozott: nem 
 • elforgatható: nem 
 • egyéb információ: 21 pólus bekötve 
 • bliszterben: igen</t>
        </is>
      </c>
    </row>
    <row r="1227">
      <c r="A1227" s="3" t="inlineStr">
        <is>
          <t>HD 4K/3</t>
        </is>
      </c>
      <c r="B1227" s="2" t="inlineStr">
        <is>
          <t>Home HD 4K/3 HDMI kábel, V2.0, aranyozott, 4Kx2K felbontás, 18 Gbps, 60fps, 3m</t>
        </is>
      </c>
      <c r="C1227" s="1" t="n">
        <v>3290.0</v>
      </c>
      <c r="D1227" s="7" t="n">
        <f>HYPERLINK("https://www.somogyi.hu/product/home-hd-4k-3-hdmi-kabel-v2-0-aranyozott-4kx2k-felbontas-18-gbps-60fps-3m-hd-4k-3-16441","https://www.somogyi.hu/product/home-hd-4k-3-hdmi-kabel-v2-0-aranyozott-4kx2k-felbontas-18-gbps-60fps-3m-hd-4k-3-16441")</f>
        <v>0.0</v>
      </c>
      <c r="E1227" s="7" t="n">
        <f>HYPERLINK("https://www.somogyi.hu/data/img/product_main_images/small/16441.jpg","https://www.somogyi.hu/data/img/product_main_images/small/16441.jpg")</f>
        <v>0.0</v>
      </c>
      <c r="F1227" s="2" t="inlineStr">
        <is>
          <t>5999084944735</t>
        </is>
      </c>
      <c r="G1227" s="4" t="inlineStr">
        <is>
          <t>A HDMI kábel alkalmas laptopok, asztali PC-k, DVD/Blu-Ray lejátszók, TV-k, játékkonzolok, digitális fényképezőgépek/kamerák, okostelefonokhoz. Ideális HDR és 3D megjelenítéséhez. A 3 m hosszú kábel mindkét végén aranyozott „A” dugó található. V 2.0 verzió és többrétegű árnyékolás jellemzi. 
Hasznos tulajdonsága, hogy 18 Gbit/s nagy adatátviteli sebességgel és UltraHD 4K @ 60 fps ellátott.</t>
        </is>
      </c>
    </row>
    <row r="1228">
      <c r="A1228" s="3" t="inlineStr">
        <is>
          <t>A 4</t>
        </is>
      </c>
      <c r="B1228" s="2" t="inlineStr">
        <is>
          <t>Home A 4 videókábel, RCA-RCA, 1m</t>
        </is>
      </c>
      <c r="C1228" s="1" t="n">
        <v>929.0</v>
      </c>
      <c r="D1228" s="7" t="n">
        <f>HYPERLINK("https://www.somogyi.hu/product/home-a-4-videokabel-rca-rca-1m-a-4-5237","https://www.somogyi.hu/product/home-a-4-videokabel-rca-rca-1m-a-4-5237")</f>
        <v>0.0</v>
      </c>
      <c r="E1228" s="7" t="n">
        <f>HYPERLINK("https://www.somogyi.hu/data/img/product_main_images/small/05237.jpg","https://www.somogyi.hu/data/img/product_main_images/small/05237.jpg")</f>
        <v>0.0</v>
      </c>
      <c r="F1228" s="2" t="inlineStr">
        <is>
          <t>5998312746240</t>
        </is>
      </c>
      <c r="G1228" s="4" t="inlineStr">
        <is>
          <t>Az audió- és videócsatlakozók választékában a magas színvonalú hatás érdekében mindig a legmasszívabb kialakítású termékeket érdemes keresni. Nálunk garantáltan megtalálja az igényeinek megfelelő RCA dugókat! 
Az A 4 típus mindkét végén 3 db RCA dugóval rendelkezik (2 sárga, 2 két fehér és 2 piros színű dugó.) A termék hossza: 1,5 méter. Válassza a minőségi termékeket és rendeljen webáruházunkból.</t>
        </is>
      </c>
    </row>
    <row r="1229">
      <c r="A1229" s="3" t="inlineStr">
        <is>
          <t>VC 20-2</t>
        </is>
      </c>
      <c r="B1229" s="2" t="inlineStr">
        <is>
          <t>Home VC 20-2 videókábel, 4 pólusú 3,5mm dugó, RCA dugó, 2m</t>
        </is>
      </c>
      <c r="C1229" s="1" t="n">
        <v>1150.0</v>
      </c>
      <c r="D1229" s="7" t="n">
        <f>HYPERLINK("https://www.somogyi.hu/product/home-vc-20-2-videokabel-4-polusu-3-5mm-dugo-rca-dugo-2m-vc-20-2-5241","https://www.somogyi.hu/product/home-vc-20-2-videokabel-4-polusu-3-5mm-dugo-rca-dugo-2m-vc-20-2-5241")</f>
        <v>0.0</v>
      </c>
      <c r="E1229" s="7" t="n">
        <f>HYPERLINK("https://www.somogyi.hu/data/img/product_main_images/small/05241.jpg","https://www.somogyi.hu/data/img/product_main_images/small/05241.jpg")</f>
        <v>0.0</v>
      </c>
      <c r="F1229" s="2" t="inlineStr">
        <is>
          <t>5998312746288</t>
        </is>
      </c>
      <c r="G1229" s="4" t="inlineStr">
        <is>
          <t>Mindene a videókamerázás? Ez esetben csakis a minőségi csatlakozókat keresse a hatékony munkavégzés érdekében!
A VC 20-2 típus 4 pólusú 3,5 mm-es dugóval és 3 db RCA dugóval rendelkezik. (Az RCA dugók színei: piros, fehér, sárga.)
A termék alkalmazható a legtöbb videókamerához, például Sony, Panasonic stb. Hossza: 2 méter.
A 3,5mm átmérőjű dugó bekötése az érintkezők végétől a tövéig haladva: audio bal / video / GND /  audio jobb.</t>
        </is>
      </c>
    </row>
    <row r="1230">
      <c r="A1230" s="3" t="inlineStr">
        <is>
          <t>STP 1,5</t>
        </is>
      </c>
      <c r="B1230" s="2" t="inlineStr">
        <is>
          <t>Home STP 1,5, STP patch kábel, CAT 8, árnyékolt RJ45, 40 Gbps, 1,5m</t>
        </is>
      </c>
      <c r="C1230" s="1" t="n">
        <v>839.0</v>
      </c>
      <c r="D1230" s="7" t="n">
        <f>HYPERLINK("https://www.somogyi.hu/product/home-stp-1-5-stp-patch-kabel-cat-8-arnyekolt-rj45-40-gbps-1-5m-stp-1-5-16853","https://www.somogyi.hu/product/home-stp-1-5-stp-patch-kabel-cat-8-arnyekolt-rj45-40-gbps-1-5m-stp-1-5-16853")</f>
        <v>0.0</v>
      </c>
      <c r="E1230" s="7" t="n">
        <f>HYPERLINK("https://www.somogyi.hu/data/img/product_main_images/small/16853.jpg","https://www.somogyi.hu/data/img/product_main_images/small/16853.jpg")</f>
        <v>0.0</v>
      </c>
      <c r="F1230" s="2" t="inlineStr">
        <is>
          <t>5999084948856</t>
        </is>
      </c>
      <c r="G1230" s="4" t="inlineStr">
        <is>
          <t>A Patch kábel segítségével akár 40 gigabit átviteli sebesség érhető el. Visszamenőleg kompatibilis a CAT 6A és CAT 5E komponensekkel. A Patch kábel árnyékolt RJ 45 csatlakozókkal és 1,5 m hosszú kábellel ellátott. UTP kábel helyett is alkalmazható.</t>
        </is>
      </c>
    </row>
    <row r="1231">
      <c r="A1231" s="3" t="inlineStr">
        <is>
          <t>V 50SX</t>
        </is>
      </c>
      <c r="B1231" s="2" t="inlineStr">
        <is>
          <t>Videó átalakító, 21 pólusó SCART dugó-3xRCA aljza+SVHS aljzat</t>
        </is>
      </c>
      <c r="C1231" s="1" t="n">
        <v>1150.0</v>
      </c>
      <c r="D1231" s="7" t="n">
        <f>HYPERLINK("https://www.somogyi.hu/product/video-atalakito-21-poluso-scart-dugo-3xrca-aljza-svhs-aljzat-v-50sx-4338","https://www.somogyi.hu/product/video-atalakito-21-poluso-scart-dugo-3xrca-aljza-svhs-aljzat-v-50sx-4338")</f>
        <v>0.0</v>
      </c>
      <c r="E1231" s="7" t="n">
        <f>HYPERLINK("https://www.somogyi.hu/data/img/product_main_images/small/04338.jpg","https://www.somogyi.hu/data/img/product_main_images/small/04338.jpg")</f>
        <v>0.0</v>
      </c>
      <c r="F1231" s="2" t="inlineStr">
        <is>
          <t>5998312738016</t>
        </is>
      </c>
      <c r="G1231" s="4" t="inlineStr">
        <is>
          <t xml:space="preserve"> • csatlakozók: scart dugó / 3 RCA aljzat, SVHS aljzat 
 • aranyozott: nem 
 • elforgatható: nem 
 • egyéb információ: kimenet / bemenet átkapcsolható 
 • bliszterben: igen</t>
        </is>
      </c>
    </row>
    <row r="1232">
      <c r="A1232" s="3" t="inlineStr">
        <is>
          <t>V 50S</t>
        </is>
      </c>
      <c r="B1232" s="2" t="inlineStr">
        <is>
          <t>Home V 50S videóátalakító, 21 pólusú euro dugó, RCA aljzat, SVHS aljzat</t>
        </is>
      </c>
      <c r="C1232" s="1" t="n">
        <v>959.0</v>
      </c>
      <c r="D1232" s="7" t="n">
        <f>HYPERLINK("https://www.somogyi.hu/product/home-v-50s-videoatalakito-21-polusu-euro-dugo-rca-aljzat-svhs-aljzat-v-50s-4217","https://www.somogyi.hu/product/home-v-50s-videoatalakito-21-polusu-euro-dugo-rca-aljzat-svhs-aljzat-v-50s-4217")</f>
        <v>0.0</v>
      </c>
      <c r="E1232" s="7" t="n">
        <f>HYPERLINK("https://www.somogyi.hu/data/img/product_main_images/small/04217.jpg","https://www.somogyi.hu/data/img/product_main_images/small/04217.jpg")</f>
        <v>0.0</v>
      </c>
      <c r="F1232" s="2" t="inlineStr">
        <is>
          <t>5998312737484</t>
        </is>
      </c>
      <c r="G1232" s="4" t="inlineStr">
        <is>
          <t>Nálunk garantáltan megtalálja az igényeinek megfelelő euro dugókat! 
A V 50S sztereo átalakító kapcsolóval ellátott 21 pólósú euró dugó, amely 3 db RCA aljzattal és SVHS aljzattal rendelkezik. Válassza a minőségi termékeket és rendeljen webáruházunkból.</t>
        </is>
      </c>
    </row>
    <row r="1233">
      <c r="A1233" s="3" t="inlineStr">
        <is>
          <t>VC 3D</t>
        </is>
      </c>
      <c r="B1233" s="2" t="inlineStr">
        <is>
          <t>Home VC 3D videókábel, 21 pólusú euro dugó, 1,5m</t>
        </is>
      </c>
      <c r="C1233" s="1" t="n">
        <v>1190.0</v>
      </c>
      <c r="D1233" s="7" t="n">
        <f>HYPERLINK("https://www.somogyi.hu/product/home-vc-3d-videokabel-21-polusu-euro-dugo-1-5m-vc-3d-1956","https://www.somogyi.hu/product/home-vc-3d-videokabel-21-polusu-euro-dugo-1-5m-vc-3d-1956")</f>
        <v>0.0</v>
      </c>
      <c r="E1233" s="7" t="n">
        <f>HYPERLINK("https://www.somogyi.hu/data/img/product_main_images/small/01956.jpg","https://www.somogyi.hu/data/img/product_main_images/small/01956.jpg")</f>
        <v>0.0</v>
      </c>
      <c r="F1233" s="2" t="inlineStr">
        <is>
          <t>2220057200057</t>
        </is>
      </c>
      <c r="G1233" s="4" t="inlineStr">
        <is>
          <t>A VC 3D típus a kábel mindkét végén 21 pólusú euró dugóval rendelkezik. A termék előnye, hogy a 21 pólus bekötve található. A kábel hossza: 1,5 méter. Válassza a minőségi termékeket és rendeljen webáruházunkból.</t>
        </is>
      </c>
    </row>
    <row r="1234">
      <c r="A1234" s="6" t="inlineStr">
        <is>
          <t xml:space="preserve">   Audio-video kiegészítők / Szerelt audio/koaxiális csatlakozókábel</t>
        </is>
      </c>
      <c r="B1234" s="6" t="inlineStr">
        <is>
          <t/>
        </is>
      </c>
      <c r="C1234" s="6" t="inlineStr">
        <is>
          <t/>
        </is>
      </c>
      <c r="D1234" s="6" t="inlineStr">
        <is>
          <t/>
        </is>
      </c>
      <c r="E1234" s="6" t="inlineStr">
        <is>
          <t/>
        </is>
      </c>
      <c r="F1234" s="6" t="inlineStr">
        <is>
          <t/>
        </is>
      </c>
      <c r="G1234" s="6" t="inlineStr">
        <is>
          <t/>
        </is>
      </c>
    </row>
    <row r="1235">
      <c r="A1235" s="3" t="inlineStr">
        <is>
          <t>A 51-5</t>
        </is>
      </c>
      <c r="B1235" s="2" t="inlineStr">
        <is>
          <t>Home A 51-5 audiókábel, 3,5mm sztereó dugó, két oldalú, 5m</t>
        </is>
      </c>
      <c r="C1235" s="1" t="n">
        <v>1350.0</v>
      </c>
      <c r="D1235" s="7" t="n">
        <f>HYPERLINK("https://www.somogyi.hu/product/home-a-51-5-audiokabel-3-5mm-sztereo-dugo-ket-oldalu-5m-a-51-5-5014","https://www.somogyi.hu/product/home-a-51-5-audiokabel-3-5mm-sztereo-dugo-ket-oldalu-5m-a-51-5-5014")</f>
        <v>0.0</v>
      </c>
      <c r="E1235" s="7" t="n">
        <f>HYPERLINK("https://www.somogyi.hu/data/img/product_main_images/small/05014.jpg","https://www.somogyi.hu/data/img/product_main_images/small/05014.jpg")</f>
        <v>0.0</v>
      </c>
      <c r="F1235" s="2" t="inlineStr">
        <is>
          <t>5998312744369</t>
        </is>
      </c>
      <c r="G1235" s="4" t="inlineStr">
        <is>
          <t>Keresse a masszív kialakítású RCA dugókat az ideális sztereó hatás érdekében! Az 5 méter hosszúságú A 51-5 típus 2 db fekete ∅3,5mm-es sztereó dugóval rendelkezik. Válassza a minőségi termékeket és rendeljen webáruházunkból.</t>
        </is>
      </c>
    </row>
    <row r="1236">
      <c r="A1236" s="3" t="inlineStr">
        <is>
          <t>A 49-4M</t>
        </is>
      </c>
      <c r="B1236" s="2" t="inlineStr">
        <is>
          <t>Home A 49-4M audiókábel, 3,5mm sztereó dugó, RCA, 4m</t>
        </is>
      </c>
      <c r="C1236" s="1" t="n">
        <v>2690.0</v>
      </c>
      <c r="D1236" s="7" t="n">
        <f>HYPERLINK("https://www.somogyi.hu/product/home-a-49-4m-audiokabel-3-5mm-sztereo-dugo-rca-4m-a-49-4m-16109","https://www.somogyi.hu/product/home-a-49-4m-audiokabel-3-5mm-sztereo-dugo-rca-4m-a-49-4m-16109")</f>
        <v>0.0</v>
      </c>
      <c r="E1236" s="7" t="n">
        <f>HYPERLINK("https://www.somogyi.hu/data/img/product_main_images/small/16109.jpg","https://www.somogyi.hu/data/img/product_main_images/small/16109.jpg")</f>
        <v>0.0</v>
      </c>
      <c r="F1236" s="2" t="inlineStr">
        <is>
          <t>5999084941413</t>
        </is>
      </c>
      <c r="G1236" s="4" t="inlineStr">
        <is>
          <t>Az Audiókábel 4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37">
      <c r="A1237" s="3" t="inlineStr">
        <is>
          <t>A 51-1M</t>
        </is>
      </c>
      <c r="B1237" s="2" t="inlineStr">
        <is>
          <t>Home A 51-1M audiókábel, 3,5mm egyenes sztereó dugó, 3,5mm pipa sztereó dugó, 1m</t>
        </is>
      </c>
      <c r="C1237" s="1" t="n">
        <v>1250.0</v>
      </c>
      <c r="D1237" s="7" t="n">
        <f>HYPERLINK("https://www.somogyi.hu/product/home-a-51-1m-audiokabel-3-5mm-egyenes-sztereo-dugo-3-5mm-pipa-sztereo-dugo-1m-a-51-1m-14285","https://www.somogyi.hu/product/home-a-51-1m-audiokabel-3-5mm-egyenes-sztereo-dugo-3-5mm-pipa-sztereo-dugo-1m-a-51-1m-14285")</f>
        <v>0.0</v>
      </c>
      <c r="E1237" s="7" t="n">
        <f>HYPERLINK("https://www.somogyi.hu/data/img/product_main_images/small/14285.jpg","https://www.somogyi.hu/data/img/product_main_images/small/14285.jpg")</f>
        <v>0.0</v>
      </c>
      <c r="F1237" s="2" t="inlineStr">
        <is>
          <t>5999084923334</t>
        </is>
      </c>
      <c r="G1237" s="4" t="inlineStr">
        <is>
          <t>Mindene a zene? Ez esetben keresse a legmasszívabb kialakítással rendelkező sztereo csatlakozókábeleket, hogy garantált legyen a zenei élmény!
Az A 51-1M sztereó csatlakozókábel ∅3,5 mm-es egyenes sztereo dugóval és ∅3,5 mm-es pipa sztereo dugóval rendelkezik. A kábel hosszúsága: 1 méter. Válassza a minőségi termékeket és rendeljen webáruházunkból.</t>
        </is>
      </c>
    </row>
    <row r="1238">
      <c r="A1238" s="3" t="inlineStr">
        <is>
          <t>A 54-2.5M</t>
        </is>
      </c>
      <c r="B1238" s="2" t="inlineStr">
        <is>
          <t>Home A 54-2.5M audiókábel, 3,5mm sztereó dugó, 3,5mm sztereó aljzat, 2,5m</t>
        </is>
      </c>
      <c r="C1238" s="1" t="n">
        <v>1550.0</v>
      </c>
      <c r="D1238" s="7" t="n">
        <f>HYPERLINK("https://www.somogyi.hu/product/home-a-54-2-5m-audiokabel-3-5mm-sztereo-dugo-3-5mm-sztereo-aljzat-2-5m-a-54-2-5m-14286","https://www.somogyi.hu/product/home-a-54-2-5m-audiokabel-3-5mm-sztereo-dugo-3-5mm-sztereo-aljzat-2-5m-a-54-2-5m-14286")</f>
        <v>0.0</v>
      </c>
      <c r="E1238" s="7" t="n">
        <f>HYPERLINK("https://www.somogyi.hu/data/img/product_main_images/small/14286.jpg","https://www.somogyi.hu/data/img/product_main_images/small/14286.jpg")</f>
        <v>0.0</v>
      </c>
      <c r="F1238" s="2" t="inlineStr">
        <is>
          <t>5999084923341</t>
        </is>
      </c>
      <c r="G1238" s="4" t="inlineStr">
        <is>
          <t>Az Audiókábel 2,5 m hosszú, melynek egyik végén 3,5 mm ∅ sztereó dugó, másik végén pedig 3,5 mm ∅ sztereó aljzat található. Alumínium burkolattal és aranyozott csatlakozókkal ellátott. 
Kiváló HI-FI hangminőségű vezeték, amely zajmentes kontaktust alakít ki. 
Ideális hordozható és otthoni készülékekhez.</t>
        </is>
      </c>
    </row>
    <row r="1239">
      <c r="A1239" s="3" t="inlineStr">
        <is>
          <t>A 51X</t>
        </is>
      </c>
      <c r="B1239" s="2" t="inlineStr">
        <is>
          <t>Audió kábel, 3,5 mm sztereó dugó-3,5 mm sztereó dugó, 1,5 m</t>
        </is>
      </c>
      <c r="C1239" s="1" t="n">
        <v>799.0</v>
      </c>
      <c r="D1239" s="7" t="n">
        <f>HYPERLINK("https://www.somogyi.hu/product/audio-kabel-3-5-mm-sztereo-dugo-3-5-mm-sztereo-dugo-1-5-m-a-51x-2153","https://www.somogyi.hu/product/audio-kabel-3-5-mm-sztereo-dugo-3-5-mm-sztereo-dugo-1-5-m-a-51x-2153")</f>
        <v>0.0</v>
      </c>
      <c r="E1239" s="7" t="n">
        <f>HYPERLINK("https://www.somogyi.hu/data/img/product_main_images/small/02153.jpg","https://www.somogyi.hu/data/img/product_main_images/small/02153.jpg")</f>
        <v>0.0</v>
      </c>
      <c r="F1239" s="2" t="inlineStr">
        <is>
          <t>5998312724163</t>
        </is>
      </c>
      <c r="G1239" s="4" t="inlineStr">
        <is>
          <t xml:space="preserve"> • csatlakozók: Ø3,5 mm dugó / Ø3,5 mm dugó 
 • kábel hossza: 1,5 m 
 • aranyozott: nem 
 • fém csatlakozóház: nem 
 • egyéb információ: sztereó 
 • szín: fekete 
 • bliszterben: igen</t>
        </is>
      </c>
    </row>
    <row r="1240">
      <c r="A1240" s="3" t="inlineStr">
        <is>
          <t>A 49-1M</t>
        </is>
      </c>
      <c r="B1240" s="2" t="inlineStr">
        <is>
          <t>Home A 49-1M audiókábel, 3,5mm sztereó dugó, RCA, 1m</t>
        </is>
      </c>
      <c r="C1240" s="1" t="n">
        <v>1850.0</v>
      </c>
      <c r="D1240" s="7" t="n">
        <f>HYPERLINK("https://www.somogyi.hu/product/home-a-49-1m-audiokabel-3-5mm-sztereo-dugo-rca-1m-a-49-1m-14287","https://www.somogyi.hu/product/home-a-49-1m-audiokabel-3-5mm-sztereo-dugo-rca-1m-a-49-1m-14287")</f>
        <v>0.0</v>
      </c>
      <c r="E1240" s="7" t="n">
        <f>HYPERLINK("https://www.somogyi.hu/data/img/product_main_images/small/14287.jpg","https://www.somogyi.hu/data/img/product_main_images/small/14287.jpg")</f>
        <v>0.0</v>
      </c>
      <c r="F1240" s="2" t="inlineStr">
        <is>
          <t>5999084923358</t>
        </is>
      </c>
      <c r="G1240" s="4" t="inlineStr">
        <is>
          <t>Az Audiókábel 1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41">
      <c r="A1241" s="3" t="inlineStr">
        <is>
          <t>AC 16M</t>
        </is>
      </c>
      <c r="B1241" s="2" t="inlineStr">
        <is>
          <t>Home AC 16M audió átalakító kábel, elosztó, 3,5mm sztereó dugó, 2 aljzat, 15cm</t>
        </is>
      </c>
      <c r="C1241" s="1" t="n">
        <v>1490.0</v>
      </c>
      <c r="D1241" s="7" t="n">
        <f>HYPERLINK("https://www.somogyi.hu/product/home-ac-16m-audio-atalakito-kabel-eloszto-3-5mm-sztereo-dugo-2-aljzat-15cm-ac-16m-14288","https://www.somogyi.hu/product/home-ac-16m-audio-atalakito-kabel-eloszto-3-5mm-sztereo-dugo-2-aljzat-15cm-ac-16m-14288")</f>
        <v>0.0</v>
      </c>
      <c r="E1241" s="7" t="n">
        <f>HYPERLINK("https://www.somogyi.hu/data/img/product_main_images/small/14288.jpg","https://www.somogyi.hu/data/img/product_main_images/small/14288.jpg")</f>
        <v>0.0</v>
      </c>
      <c r="F1241" s="2" t="inlineStr">
        <is>
          <t>5999084923365</t>
        </is>
      </c>
      <c r="G1241" s="4" t="inlineStr">
        <is>
          <t>A legjobb hanghatás érdekében csakis a minőségi kialakítású fejhallgató elosztókat keresse! Az AC 16M garantáltan az első osztályú minőséget testesíti meg.
A termék aranyozott csatlakozókkal és alumínium burkolattal rendelkezik, így hosszú távon sem lesz rá panasz. A minőségi hangzás érdekében kiváló, zajmentes kontaktust létesít. Ráadásul az egyedi formatervezése rendkívül dizájnos megjelenést kölcsönöz a terméknek. Az elosztó ideális a hordozható készülékek számára is. Mérete: ∅3,5 mm (sztereo dugó), 2 x ∅3,5 mm (sztereo aljzat). Hossza: 15 cm. Válassza a minőségi termékeket és rendeljen webáruházunkból.</t>
        </is>
      </c>
    </row>
    <row r="1242">
      <c r="A1242" s="3" t="inlineStr">
        <is>
          <t>A 3-1M</t>
        </is>
      </c>
      <c r="B1242" s="2" t="inlineStr">
        <is>
          <t>Home A3-1M audiókábel, RCA, 1m</t>
        </is>
      </c>
      <c r="C1242" s="1" t="n">
        <v>2190.0</v>
      </c>
      <c r="D1242" s="7" t="n">
        <f>HYPERLINK("https://www.somogyi.hu/product/home-a3-1m-audiokabel-rca-1m-a-3-1m-14289","https://www.somogyi.hu/product/home-a3-1m-audiokabel-rca-1m-a-3-1m-14289")</f>
        <v>0.0</v>
      </c>
      <c r="E1242" s="7" t="n">
        <f>HYPERLINK("https://www.somogyi.hu/data/img/product_main_images/small/14289.jpg","https://www.somogyi.hu/data/img/product_main_images/small/14289.jpg")</f>
        <v>0.0</v>
      </c>
      <c r="F1242" s="2" t="inlineStr">
        <is>
          <t>5999084923372</t>
        </is>
      </c>
      <c r="G1242" s="4" t="inlineStr">
        <is>
          <t>Mindene a zene? Ez esetben keresse a legmasszívabb kialakítással rendelkező sztereo csatlakozókábeleket, hogy garantált legyen a zenei élmény!
Az A 3-1M sztereó csatlakozókábel mindkét végén 2 db RCA típusú dugóval rendelkezik. A kábel hosszúsága: 1 méter. Válassza a minőségi termékeket és rendeljen webáruházunkból.</t>
        </is>
      </c>
    </row>
    <row r="1243">
      <c r="A1243" s="3" t="inlineStr">
        <is>
          <t>A 49X</t>
        </is>
      </c>
      <c r="B1243" s="2" t="inlineStr">
        <is>
          <t>Audió kábel, 3,5 mm sztereó dugó-2 RCA dugó 1,5 m</t>
        </is>
      </c>
      <c r="C1243" s="1" t="n">
        <v>639.0</v>
      </c>
      <c r="D1243" s="7" t="n">
        <f>HYPERLINK("https://www.somogyi.hu/product/audio-kabel-3-5-mm-sztereo-dugo-2-rca-dugo-1-5-m-a-49x-2156","https://www.somogyi.hu/product/audio-kabel-3-5-mm-sztereo-dugo-2-rca-dugo-1-5-m-a-49x-2156")</f>
        <v>0.0</v>
      </c>
      <c r="E1243" s="7" t="n">
        <f>HYPERLINK("https://www.somogyi.hu/data/img/product_main_images/small/02156.jpg","https://www.somogyi.hu/data/img/product_main_images/small/02156.jpg")</f>
        <v>0.0</v>
      </c>
      <c r="F1243" s="2" t="inlineStr">
        <is>
          <t>5998312724194</t>
        </is>
      </c>
      <c r="G1243" s="4" t="inlineStr">
        <is>
          <t xml:space="preserve"> • csatlakozók: Ø3,5 mm dugó / 2 x RCA dugó 
 • kábel hossza: 1,5 m 
 • aranyozott: nem 
 • fém csatlakozóház: nem 
 • egyéb információ: sztereó 
 • szín: fekete 
 • bliszterben: igen</t>
        </is>
      </c>
    </row>
    <row r="1244">
      <c r="A1244" s="3" t="inlineStr">
        <is>
          <t>A 3</t>
        </is>
      </c>
      <c r="B1244" s="2" t="inlineStr">
        <is>
          <t>Home A3 audiókábel, RCA, 1,5m</t>
        </is>
      </c>
      <c r="C1244" s="1" t="n">
        <v>629.0</v>
      </c>
      <c r="D1244" s="7" t="n">
        <f>HYPERLINK("https://www.somogyi.hu/product/home-a3-audiokabel-rca-1-5m-a-3-1675","https://www.somogyi.hu/product/home-a3-audiokabel-rca-1-5m-a-3-1675")</f>
        <v>0.0</v>
      </c>
      <c r="E1244" s="7" t="n">
        <f>HYPERLINK("https://www.somogyi.hu/data/img/product_main_images/small/01675.jpg","https://www.somogyi.hu/data/img/product_main_images/small/01675.jpg")</f>
        <v>0.0</v>
      </c>
      <c r="F1244" s="2" t="inlineStr">
        <is>
          <t>5998312700327</t>
        </is>
      </c>
      <c r="G1244" s="4" t="inlineStr">
        <is>
          <t>Keresse a masszív kialakítású RCA dugókat az ideális hatás érdekében! A 1,5 méter hosszúságú A 3 típus 2 db piros és 2 db fekete RCA dugóval rendelkezik. Válassza a minőségi termékeket és rendeljen webáruházunkból.</t>
        </is>
      </c>
    </row>
    <row r="1245">
      <c r="A1245" s="3" t="inlineStr">
        <is>
          <t>A 49</t>
        </is>
      </c>
      <c r="B1245" s="2" t="inlineStr">
        <is>
          <t>Home A 49 audiókábel, 3,5mm dugó, RCA, 1,5m</t>
        </is>
      </c>
      <c r="C1245" s="1" t="n">
        <v>499.0</v>
      </c>
      <c r="D1245" s="7" t="n">
        <f>HYPERLINK("https://www.somogyi.hu/product/home-a-49-audiokabel-3-5mm-dugo-rca-1-5m-a-49-1681","https://www.somogyi.hu/product/home-a-49-audiokabel-3-5mm-dugo-rca-1-5m-a-49-1681")</f>
        <v>0.0</v>
      </c>
      <c r="E1245" s="7" t="n">
        <f>HYPERLINK("https://www.somogyi.hu/data/img/product_main_images/small/01681.jpg","https://www.somogyi.hu/data/img/product_main_images/small/01681.jpg")</f>
        <v>0.0</v>
      </c>
      <c r="F1245" s="2" t="inlineStr">
        <is>
          <t>5998312700396</t>
        </is>
      </c>
      <c r="G1245" s="4" t="inlineStr">
        <is>
          <t>Keresse a masszív kialakítású RCA dugókat az ideális sztereó hatás érdekében! A 1,5 méter hosszúságú A 49 típus ∅3,5mm-es sztereó dugóval és 2 db RCA dugóval rendelkezik. Válassza a minőségi termékeket és rendeljen webáruházunkból.</t>
        </is>
      </c>
    </row>
    <row r="1246">
      <c r="A1246" s="3" t="inlineStr">
        <is>
          <t>A 51</t>
        </is>
      </c>
      <c r="B1246" s="2" t="inlineStr">
        <is>
          <t>Home A 51 audiókábel, 3,5mm sztereó dugó, két oldalú, 1,5m</t>
        </is>
      </c>
      <c r="C1246" s="1" t="n">
        <v>659.0</v>
      </c>
      <c r="D1246" s="7" t="n">
        <f>HYPERLINK("https://www.somogyi.hu/product/home-a-51-audiokabel-3-5mm-sztereo-dugo-ket-oldalu-1-5m-a-51-1682","https://www.somogyi.hu/product/home-a-51-audiokabel-3-5mm-sztereo-dugo-ket-oldalu-1-5m-a-51-1682")</f>
        <v>0.0</v>
      </c>
      <c r="E1246" s="7" t="n">
        <f>HYPERLINK("https://www.somogyi.hu/data/img/product_main_images/small/01682.jpg","https://www.somogyi.hu/data/img/product_main_images/small/01682.jpg")</f>
        <v>0.0</v>
      </c>
      <c r="F1246" s="2" t="inlineStr">
        <is>
          <t>5998312700402</t>
        </is>
      </c>
      <c r="G1246" s="4" t="inlineStr">
        <is>
          <t>Keresse a masszív kialakítású RCA dugókat az ideális sztereó hatás érdekében! A 1,5 méter hosszúságú A 51 típus 2 db fekete ∅3,5mm-es sztereó dugóval rendelkezik. Válassza a minőségi termékeket és rendeljen webáruházunkból.</t>
        </is>
      </c>
    </row>
    <row r="1247">
      <c r="A1247" s="3" t="inlineStr">
        <is>
          <t>RF 1</t>
        </is>
      </c>
      <c r="B1247" s="2" t="inlineStr">
        <is>
          <t>Home RF 1 koax kábel, dugó-aljzat, dupla árnyékolás, 1,5m, fehér</t>
        </is>
      </c>
      <c r="C1247" s="1" t="n">
        <v>369.0</v>
      </c>
      <c r="D1247" s="7" t="n">
        <f>HYPERLINK("https://www.somogyi.hu/product/home-rf-1-koax-kabel-dugo-aljzat-dupla-arnyekolas-1-5m-feher-rf-1-1816","https://www.somogyi.hu/product/home-rf-1-koax-kabel-dugo-aljzat-dupla-arnyekolas-1-5m-feher-rf-1-1816")</f>
        <v>0.0</v>
      </c>
      <c r="E1247" s="7" t="n">
        <f>HYPERLINK("https://www.somogyi.hu/data/img/product_main_images/small/01816.jpg","https://www.somogyi.hu/data/img/product_main_images/small/01816.jpg")</f>
        <v>0.0</v>
      </c>
      <c r="F1247" s="2" t="inlineStr">
        <is>
          <t>5998312703373</t>
        </is>
      </c>
      <c r="G1247" s="4" t="inlineStr">
        <is>
          <t>Dupla árnyékolást biztosító koax dugó és koax aljzat. A masszív kialakítású RF 1 fehér színben 1,5 méteres hosszban kapható. Válassza a minőségi termékeket és rendeljen webáruházunkból.</t>
        </is>
      </c>
    </row>
    <row r="1248">
      <c r="A1248" s="3" t="inlineStr">
        <is>
          <t>RF 10</t>
        </is>
      </c>
      <c r="B1248" s="2" t="inlineStr">
        <is>
          <t>Home RF 10 koax kábel, dugó-aljzat, dupla árnyékolás, 10m, fehér</t>
        </is>
      </c>
      <c r="C1248" s="1" t="n">
        <v>1150.0</v>
      </c>
      <c r="D1248" s="7" t="n">
        <f>HYPERLINK("https://www.somogyi.hu/product/home-rf-10-koax-kabel-dugo-aljzat-dupla-arnyekolas-10m-feher-rf-10-1817","https://www.somogyi.hu/product/home-rf-10-koax-kabel-dugo-aljzat-dupla-arnyekolas-10m-feher-rf-10-1817")</f>
        <v>0.0</v>
      </c>
      <c r="E1248" s="7" t="n">
        <f>HYPERLINK("https://www.somogyi.hu/data/img/product_main_images/small/01817.jpg","https://www.somogyi.hu/data/img/product_main_images/small/01817.jpg")</f>
        <v>0.0</v>
      </c>
      <c r="F1248" s="2" t="inlineStr">
        <is>
          <t>5998312703380</t>
        </is>
      </c>
      <c r="G1248" s="4" t="inlineStr">
        <is>
          <t>Dupla árnyékolást biztosító koax dugó és koax aljzat. A masszív kialakítású RF 10 fehér színben 10 méteres hosszban kapható. Válassza a minőségi termékeket és rendeljen webáruházunkból.</t>
        </is>
      </c>
    </row>
    <row r="1249">
      <c r="A1249" s="3" t="inlineStr">
        <is>
          <t>RF 5</t>
        </is>
      </c>
      <c r="B1249" s="2" t="inlineStr">
        <is>
          <t>Home RF 5 koax kábel, dugó-aljzat, dupla árnyékolás, 5m, fehér</t>
        </is>
      </c>
      <c r="C1249" s="1" t="n">
        <v>749.0</v>
      </c>
      <c r="D1249" s="7" t="n">
        <f>HYPERLINK("https://www.somogyi.hu/product/home-rf-5-koax-kabel-dugo-aljzat-dupla-arnyekolas-5m-feher-rf-5-1819","https://www.somogyi.hu/product/home-rf-5-koax-kabel-dugo-aljzat-dupla-arnyekolas-5m-feher-rf-5-1819")</f>
        <v>0.0</v>
      </c>
      <c r="E1249" s="7" t="n">
        <f>HYPERLINK("https://www.somogyi.hu/data/img/product_main_images/small/01819.jpg","https://www.somogyi.hu/data/img/product_main_images/small/01819.jpg")</f>
        <v>0.0</v>
      </c>
      <c r="F1249" s="2" t="inlineStr">
        <is>
          <t>5998312703403</t>
        </is>
      </c>
      <c r="G1249" s="4" t="inlineStr">
        <is>
          <t>Dupla árnyékolást biztosító koax dugó és koax aljzat. A masszív kialakítású RF 5 fehér színben 5 méteres hosszban kapható. Válassza a minőségi termékeket és rendeljen webáruházunkból.</t>
        </is>
      </c>
    </row>
    <row r="1250">
      <c r="A1250" s="3" t="inlineStr">
        <is>
          <t>RF 3</t>
        </is>
      </c>
      <c r="B1250" s="2" t="inlineStr">
        <is>
          <t>Home RF 3 koax kábel, dugó-aljzat, dupla árnyékolás, 2,5m, fehér</t>
        </is>
      </c>
      <c r="C1250" s="1" t="n">
        <v>469.0</v>
      </c>
      <c r="D1250" s="7" t="n">
        <f>HYPERLINK("https://www.somogyi.hu/product/home-rf-3-koax-kabel-dugo-aljzat-dupla-arnyekolas-2-5m-feher-rf-3-1818","https://www.somogyi.hu/product/home-rf-3-koax-kabel-dugo-aljzat-dupla-arnyekolas-2-5m-feher-rf-3-1818")</f>
        <v>0.0</v>
      </c>
      <c r="E1250" s="7" t="n">
        <f>HYPERLINK("https://www.somogyi.hu/data/img/product_main_images/small/01818.jpg","https://www.somogyi.hu/data/img/product_main_images/small/01818.jpg")</f>
        <v>0.0</v>
      </c>
      <c r="F1250" s="2" t="inlineStr">
        <is>
          <t>5998312703397</t>
        </is>
      </c>
      <c r="G1250" s="4" t="inlineStr">
        <is>
          <t>Dupla árnyékolást biztosító koax dugó és koax aljzat. A masszív kialakítású RF 3 fehér színben 2,5 méteres hosszban kapható. Válassza a minőségi termékeket és rendeljen webáruházunkból.</t>
        </is>
      </c>
    </row>
    <row r="1251">
      <c r="A1251" s="3" t="inlineStr">
        <is>
          <t>A 54-5</t>
        </is>
      </c>
      <c r="B1251" s="2" t="inlineStr">
        <is>
          <t>Home A 54-5 audiókábel, 3,5mm sztereó dugó, 3,5mm sztereó aljzat, 5m</t>
        </is>
      </c>
      <c r="C1251" s="1" t="n">
        <v>1250.0</v>
      </c>
      <c r="D1251" s="7" t="n">
        <f>HYPERLINK("https://www.somogyi.hu/product/home-a-54-5-audiokabel-3-5mm-sztereo-dugo-3-5mm-sztereo-aljzat-5m-a-54-5-1965","https://www.somogyi.hu/product/home-a-54-5-audiokabel-3-5mm-sztereo-dugo-3-5mm-sztereo-aljzat-5m-a-54-5-1965")</f>
        <v>0.0</v>
      </c>
      <c r="E1251" s="7" t="n">
        <f>HYPERLINK("https://www.somogyi.hu/data/img/product_main_images/small/01965.jpg","https://www.somogyi.hu/data/img/product_main_images/small/01965.jpg")</f>
        <v>0.0</v>
      </c>
      <c r="F1251" s="2" t="inlineStr">
        <is>
          <t>5998312706886</t>
        </is>
      </c>
      <c r="G1251" s="4" t="inlineStr">
        <is>
          <t>Keresse a masszív kialakítású RCA dugókat az ideális sztereó hatás érdekében! Az 5 méter hosszúságú A 54-5 típus egy ∅3,5mm-es sztereó dugóval és egy ∅3,5mm-es sztereo aljzattal rendelkezik. Válassza a minőségi termékeket és rendeljen webáruházunkból.</t>
        </is>
      </c>
    </row>
    <row r="1252">
      <c r="A1252" s="3" t="inlineStr">
        <is>
          <t>A 49-5</t>
        </is>
      </c>
      <c r="B1252" s="2" t="inlineStr">
        <is>
          <t>Home A 49-5 audiókábel, 3,5mm sztereó dugó, RCA, 5m</t>
        </is>
      </c>
      <c r="C1252" s="1" t="n">
        <v>929.0</v>
      </c>
      <c r="D1252" s="7" t="n">
        <f>HYPERLINK("https://www.somogyi.hu/product/home-a-49-5-audiokabel-3-5mm-sztereo-dugo-rca-5m-a-49-5-4805","https://www.somogyi.hu/product/home-a-49-5-audiokabel-3-5mm-sztereo-dugo-rca-5m-a-49-5-4805")</f>
        <v>0.0</v>
      </c>
      <c r="E1252" s="7" t="n">
        <f>HYPERLINK("https://www.somogyi.hu/data/img/product_main_images/small/04805.jpg","https://www.somogyi.hu/data/img/product_main_images/small/04805.jpg")</f>
        <v>0.0</v>
      </c>
      <c r="F1252" s="2" t="inlineStr">
        <is>
          <t>5998312742471</t>
        </is>
      </c>
      <c r="G1252" s="4" t="inlineStr">
        <is>
          <t>Keresse a masszív kialakítású RCA dugókat az ideális sztereó hatás érdekében! Az 5 méter hosszúságú A 49 típus ∅3,5mm-es sztereó dugóval és 2 db RCA dugóval rendelkezik. Válassza a minőségi termékeket és rendeljen webáruházunkból.</t>
        </is>
      </c>
    </row>
    <row r="1253">
      <c r="A1253" s="3" t="inlineStr">
        <is>
          <t>RF 10X</t>
        </is>
      </c>
      <c r="B1253" s="2" t="inlineStr">
        <is>
          <t>Koax kábel, dugó-aljzat, 10m</t>
        </is>
      </c>
      <c r="C1253" s="1" t="n">
        <v>1290.0</v>
      </c>
      <c r="D1253" s="7" t="n">
        <f>HYPERLINK("https://www.somogyi.hu/product/koax-kabel-dugo-aljzat-10m-rf-10x-2161","https://www.somogyi.hu/product/koax-kabel-dugo-aljzat-10m-rf-10x-2161")</f>
        <v>0.0</v>
      </c>
      <c r="E1253" s="7" t="n">
        <f>HYPERLINK("https://www.somogyi.hu/data/img/product_main_images/small/02161.jpg","https://www.somogyi.hu/data/img/product_main_images/small/02161.jpg")</f>
        <v>0.0</v>
      </c>
      <c r="F1253" s="2" t="inlineStr">
        <is>
          <t>5998312724255</t>
        </is>
      </c>
      <c r="G1253" s="4" t="inlineStr">
        <is>
          <t xml:space="preserve"> • csatlakozók: koax dugó / koax dugó 
 • kábel hossza: 10 m 
 • aranyozott: nem 
 • fém csatlakozóház: nem 
 • szín: fehér 
 • bliszterben: igen</t>
        </is>
      </c>
    </row>
    <row r="1254">
      <c r="A1254" s="3" t="inlineStr">
        <is>
          <t>OPK 2/1,5X</t>
        </is>
      </c>
      <c r="B1254" s="2" t="inlineStr">
        <is>
          <t>Optikai kábel, 1,5m</t>
        </is>
      </c>
      <c r="C1254" s="1" t="n">
        <v>1890.0</v>
      </c>
      <c r="D1254" s="7" t="n">
        <f>HYPERLINK("https://www.somogyi.hu/product/optikai-kabel-1-5m-opk-2-1-5x-3000","https://www.somogyi.hu/product/optikai-kabel-1-5m-opk-2-1-5x-3000")</f>
        <v>0.0</v>
      </c>
      <c r="E1254" s="7" t="n">
        <f>HYPERLINK("https://www.somogyi.hu/data/img/product_main_images/small/03000.jpg","https://www.somogyi.hu/data/img/product_main_images/small/03000.jpg")</f>
        <v>0.0</v>
      </c>
      <c r="F1254" s="2" t="inlineStr">
        <is>
          <t>5998312733240</t>
        </is>
      </c>
      <c r="G1254" s="4" t="inlineStr">
        <is>
          <t xml:space="preserve"> • csatlakozók: Toslink / Toslink 
 • kábel hossza: 1,5 m 
 • aranyozott: nem 
 • fém csatlakozóház: nem 
 • egyéb információ: optikai kábel (Ø2,2 mm), porvédő sapkával 
 • szín: fekete 
 • bliszterben: igen</t>
        </is>
      </c>
    </row>
    <row r="1255">
      <c r="A1255" s="3" t="inlineStr">
        <is>
          <t>RF 1X</t>
        </is>
      </c>
      <c r="B1255" s="2" t="inlineStr">
        <is>
          <t>Koax kábel, dugó-aljzat, 1,5m</t>
        </is>
      </c>
      <c r="C1255" s="1" t="n">
        <v>509.0</v>
      </c>
      <c r="D1255" s="7" t="n">
        <f>HYPERLINK("https://www.somogyi.hu/product/koax-kabel-dugo-aljzat-1-5m-rf-1x-2158","https://www.somogyi.hu/product/koax-kabel-dugo-aljzat-1-5m-rf-1x-2158")</f>
        <v>0.0</v>
      </c>
      <c r="E1255" s="7" t="n">
        <f>HYPERLINK("https://www.somogyi.hu/data/img/product_main_images/small/02158.jpg","https://www.somogyi.hu/data/img/product_main_images/small/02158.jpg")</f>
        <v>0.0</v>
      </c>
      <c r="F1255" s="2" t="inlineStr">
        <is>
          <t>5998312724217</t>
        </is>
      </c>
      <c r="G1255" s="4" t="inlineStr">
        <is>
          <t xml:space="preserve"> • csatlakozók: koax dugó / koax dugó 
 • kábel hossza: 1,5 m 
 • aranyozott: nem 
 • fém csatlakozóház: nem 
 • szín: fehér 
 • bliszterben: igen</t>
        </is>
      </c>
    </row>
    <row r="1256">
      <c r="A1256" s="3" t="inlineStr">
        <is>
          <t>RF 5X</t>
        </is>
      </c>
      <c r="B1256" s="2" t="inlineStr">
        <is>
          <t>Koax kábel, dugó-aljzat, 5m</t>
        </is>
      </c>
      <c r="C1256" s="1" t="n">
        <v>889.0</v>
      </c>
      <c r="D1256" s="7" t="n">
        <f>HYPERLINK("https://www.somogyi.hu/product/koax-kabel-dugo-aljzat-5m-rf-5x-2160","https://www.somogyi.hu/product/koax-kabel-dugo-aljzat-5m-rf-5x-2160")</f>
        <v>0.0</v>
      </c>
      <c r="E1256" s="7" t="n">
        <f>HYPERLINK("https://www.somogyi.hu/data/img/product_main_images/small/02160.jpg","https://www.somogyi.hu/data/img/product_main_images/small/02160.jpg")</f>
        <v>0.0</v>
      </c>
      <c r="F1256" s="2" t="inlineStr">
        <is>
          <t>5998312724248</t>
        </is>
      </c>
      <c r="G1256" s="4" t="inlineStr">
        <is>
          <t xml:space="preserve"> • csatlakozók: koax dugó / koax dugó 
 • kábel hossza: 5 m 
 • aranyozott: nem 
 • fém csatlakozóház: nem 
 • szín: fehér 
 • bliszterben: igen</t>
        </is>
      </c>
    </row>
    <row r="1257">
      <c r="A1257" s="3" t="inlineStr">
        <is>
          <t>RF 3X</t>
        </is>
      </c>
      <c r="B1257" s="2" t="inlineStr">
        <is>
          <t>Koax kábel, dugó-aljzat, 3m</t>
        </is>
      </c>
      <c r="C1257" s="1" t="n">
        <v>609.0</v>
      </c>
      <c r="D1257" s="7" t="n">
        <f>HYPERLINK("https://www.somogyi.hu/product/koax-kabel-dugo-aljzat-3m-rf-3x-2159","https://www.somogyi.hu/product/koax-kabel-dugo-aljzat-3m-rf-3x-2159")</f>
        <v>0.0</v>
      </c>
      <c r="E1257" s="7" t="n">
        <f>HYPERLINK("https://www.somogyi.hu/data/img/product_main_images/small/02159.jpg","https://www.somogyi.hu/data/img/product_main_images/small/02159.jpg")</f>
        <v>0.0</v>
      </c>
      <c r="F1257" s="2" t="inlineStr">
        <is>
          <t>5998312724231</t>
        </is>
      </c>
      <c r="G1257" s="4" t="inlineStr">
        <is>
          <t xml:space="preserve"> • csatlakozók: koax dugó / koax dugó 
 • kábel hossza: 2,5 m 
 • aranyozott: nem 
 • szín: fehér 
 • bliszterben: igen</t>
        </is>
      </c>
    </row>
    <row r="1258">
      <c r="A1258" s="3" t="inlineStr">
        <is>
          <t>OPK 2/1,5</t>
        </is>
      </c>
      <c r="B1258" s="2" t="inlineStr">
        <is>
          <t>Home OPK 2/1,5 optikai kábel, 2 Toslink dugó, porvédő sapka, 1,5m</t>
        </is>
      </c>
      <c r="C1258" s="1" t="n">
        <v>1650.0</v>
      </c>
      <c r="D1258" s="7" t="n">
        <f>HYPERLINK("https://www.somogyi.hu/product/home-opk-2-1-5-optikai-kabel-2-toslink-dugo-porvedo-sapka-1-5m-opk-2-1-5-2708","https://www.somogyi.hu/product/home-opk-2-1-5-optikai-kabel-2-toslink-dugo-porvedo-sapka-1-5m-opk-2-1-5-2708")</f>
        <v>0.0</v>
      </c>
      <c r="E1258" s="7" t="n">
        <f>HYPERLINK("https://www.somogyi.hu/data/img/product_main_images/small/02708.jpg","https://www.somogyi.hu/data/img/product_main_images/small/02708.jpg")</f>
        <v>0.0</v>
      </c>
      <c r="F1258" s="2" t="inlineStr">
        <is>
          <t>5998312730324</t>
        </is>
      </c>
      <c r="G1258" s="4" t="inlineStr">
        <is>
          <t>Keresse a praktikus kialakítással rendelkező Toslink dugókat!
Az OPK 2/1,5 Toslink dugó előnye, hogy hosszú távon is kiváló adatátvitelt biztosít. A dugó mérete: ∅2,2 mm. A kábel hossza: 1,5 méter. Válassza a minőségi termékeket és rendeljen webáruházunkból.</t>
        </is>
      </c>
    </row>
    <row r="1259">
      <c r="A1259" s="3" t="inlineStr">
        <is>
          <t>A 3X</t>
        </is>
      </c>
      <c r="B1259" s="2" t="inlineStr">
        <is>
          <t>Audió kábel, 2 RCA dugó-2 RCA dugó, 1,5 m</t>
        </is>
      </c>
      <c r="C1259" s="1" t="n">
        <v>779.0</v>
      </c>
      <c r="D1259" s="7" t="n">
        <f>HYPERLINK("https://www.somogyi.hu/product/audio-kabel-2-rca-dugo-2-rca-dugo-1-5-m-a-3x-2145","https://www.somogyi.hu/product/audio-kabel-2-rca-dugo-2-rca-dugo-1-5-m-a-3x-2145")</f>
        <v>0.0</v>
      </c>
      <c r="E1259" s="7" t="n">
        <f>HYPERLINK("https://www.somogyi.hu/data/img/product_main_images/small/02145.jpg","https://www.somogyi.hu/data/img/product_main_images/small/02145.jpg")</f>
        <v>0.0</v>
      </c>
      <c r="F1259" s="2" t="inlineStr">
        <is>
          <t>5998312724088</t>
        </is>
      </c>
      <c r="G1259" s="4" t="inlineStr">
        <is>
          <t xml:space="preserve"> • csatlakozók: 2 x RCA dugó / 2 x RCA dugó 
 • kábel hossza: 1,5 m 
 • aranyozott: nem 
 • fém csatlakozóház: nem 
 • szín: fekete 
 • bliszterben: igen</t>
        </is>
      </c>
    </row>
    <row r="1260">
      <c r="A1260" s="6" t="inlineStr">
        <is>
          <t xml:space="preserve">   Audio-video kiegészítők / Audiocsatlakozó átalakító</t>
        </is>
      </c>
      <c r="B1260" s="6" t="inlineStr">
        <is>
          <t/>
        </is>
      </c>
      <c r="C1260" s="6" t="inlineStr">
        <is>
          <t/>
        </is>
      </c>
      <c r="D1260" s="6" t="inlineStr">
        <is>
          <t/>
        </is>
      </c>
      <c r="E1260" s="6" t="inlineStr">
        <is>
          <t/>
        </is>
      </c>
      <c r="F1260" s="6" t="inlineStr">
        <is>
          <t/>
        </is>
      </c>
      <c r="G1260" s="6" t="inlineStr">
        <is>
          <t/>
        </is>
      </c>
    </row>
    <row r="1261">
      <c r="A1261" s="3" t="inlineStr">
        <is>
          <t>AC 19</t>
        </is>
      </c>
      <c r="B1261" s="2" t="inlineStr">
        <is>
          <t>Home AC 19 RCA toldó, monó</t>
        </is>
      </c>
      <c r="C1261" s="1" t="n">
        <v>119.0</v>
      </c>
      <c r="D1261" s="7" t="n">
        <f>HYPERLINK("https://www.somogyi.hu/product/home-ac-19-rca-toldo-mono-ac-19-1701","https://www.somogyi.hu/product/home-ac-19-rca-toldo-mono-ac-19-1701")</f>
        <v>0.0</v>
      </c>
      <c r="E1261" s="7" t="n">
        <f>HYPERLINK("https://www.somogyi.hu/data/img/product_main_images/small/01701.jpg","https://www.somogyi.hu/data/img/product_main_images/small/01701.jpg")</f>
        <v>0.0</v>
      </c>
      <c r="F1261" s="2" t="inlineStr">
        <is>
          <t>5998312700662</t>
        </is>
      </c>
      <c r="G1261" s="4" t="inlineStr">
        <is>
          <t>Gondoskodjon róla, hogy mindig felhőtlen élmény legyen a házimozizás! Ezért is keresse a masszív kialakítású RCA toldót a garantált hatás érdekében!
Az AC 19 típus mindkét végén 1 db RCA aljzattal rendelkezik. A monó hangzást biztosító elosztót strapabíró műanyag borítás védi. Válassza a minőségi termékeket és rendeljen webáruházunkból.</t>
        </is>
      </c>
    </row>
    <row r="1262">
      <c r="A1262" s="3" t="inlineStr">
        <is>
          <t>AC 17X</t>
        </is>
      </c>
      <c r="B1262" s="2" t="inlineStr">
        <is>
          <t>Audió átalakító, 3,5 mm sztereó dugó-2xRCA alj</t>
        </is>
      </c>
      <c r="C1262" s="1" t="n">
        <v>319.0</v>
      </c>
      <c r="D1262" s="7" t="n">
        <f>HYPERLINK("https://www.somogyi.hu/product/audio-atalakito-3-5-mm-sztereo-dugo-2xrca-alj-ac-17x-2256","https://www.somogyi.hu/product/audio-atalakito-3-5-mm-sztereo-dugo-2xrca-alj-ac-17x-2256")</f>
        <v>0.0</v>
      </c>
      <c r="E1262" s="7" t="n">
        <f>HYPERLINK("https://www.somogyi.hu/data/img/product_main_images/small/02256.jpg","https://www.somogyi.hu/data/img/product_main_images/small/02256.jpg")</f>
        <v>0.0</v>
      </c>
      <c r="F1262" s="2" t="inlineStr">
        <is>
          <t>5998312725221</t>
        </is>
      </c>
      <c r="G1262" s="4" t="inlineStr">
        <is>
          <t xml:space="preserve"> • csatlakozók: Ø3,5 mm dugó / 2 x RCA aljzat 
 • egyéb információ: sztereó 
 • bliszterben: igen</t>
        </is>
      </c>
    </row>
    <row r="1263">
      <c r="A1263" s="3" t="inlineStr">
        <is>
          <t>AC 19X</t>
        </is>
      </c>
      <c r="B1263" s="2" t="inlineStr">
        <is>
          <t>RCA toldó, aljzat-aljzat</t>
        </is>
      </c>
      <c r="C1263" s="1" t="n">
        <v>229.0</v>
      </c>
      <c r="D1263" s="7" t="n">
        <f>HYPERLINK("https://www.somogyi.hu/product/rca-toldo-aljzat-aljzat-ac-19x-2213","https://www.somogyi.hu/product/rca-toldo-aljzat-aljzat-ac-19x-2213")</f>
        <v>0.0</v>
      </c>
      <c r="E1263" s="7" t="n">
        <f>HYPERLINK("https://www.somogyi.hu/data/img/product_main_images/small/02213.jpg","https://www.somogyi.hu/data/img/product_main_images/small/02213.jpg")</f>
        <v>0.0</v>
      </c>
      <c r="F1263" s="2" t="inlineStr">
        <is>
          <t>5998312724781</t>
        </is>
      </c>
      <c r="G1263" s="4" t="inlineStr">
        <is>
          <t xml:space="preserve"> • csatlakozók: RCA aljzat / RCA aljzat 
 • egyéb információ: monó 
 • bliszterben: igen</t>
        </is>
      </c>
    </row>
    <row r="1264">
      <c r="A1264" s="3" t="inlineStr">
        <is>
          <t>AC 17</t>
        </is>
      </c>
      <c r="B1264" s="2" t="inlineStr">
        <is>
          <t>Home AC 16 audió átalakító, elosztó, 3,5mm sztereó dugó, 2 RCA aljzat</t>
        </is>
      </c>
      <c r="C1264" s="1" t="n">
        <v>219.0</v>
      </c>
      <c r="D1264" s="7" t="n">
        <f>HYPERLINK("https://www.somogyi.hu/product/home-ac-16-audio-atalakito-eloszto-3-5mm-sztereo-dugo-2-rca-aljzat-ac-17-1699","https://www.somogyi.hu/product/home-ac-16-audio-atalakito-eloszto-3-5mm-sztereo-dugo-2-rca-aljzat-ac-17-1699")</f>
        <v>0.0</v>
      </c>
      <c r="E1264" s="7" t="n">
        <f>HYPERLINK("https://www.somogyi.hu/data/img/product_main_images/small/01699.jpg","https://www.somogyi.hu/data/img/product_main_images/small/01699.jpg")</f>
        <v>0.0</v>
      </c>
      <c r="F1264" s="2" t="inlineStr">
        <is>
          <t>5998312700648</t>
        </is>
      </c>
      <c r="G1264" s="4" t="inlineStr">
        <is>
          <t>Gondoskodjon róla, hogy mindig felhőtlen élmény legyen a házimozizás! Ezért is keresse a masszív kialakítású RCA átalakítókat a garantált hatás érdekében!
Az AC 17 típus 1 db ∅3,5 mm-es sztereó dugóval és 2 db RCA aljzat-átalakítóval rendelkezik. A terméket strapabíró műanyag borítás védi. Válassza a minőségi termékeket és rendeljen webáruházunkból.</t>
        </is>
      </c>
    </row>
    <row r="1265">
      <c r="A1265" s="3" t="inlineStr">
        <is>
          <t>AC 16</t>
        </is>
      </c>
      <c r="B1265" s="2" t="inlineStr">
        <is>
          <t>Home AC 16 audió átalakító, elosztó, 3,5mm sztereó dugó, 2 x 3,5mm sztereó aljzat</t>
        </is>
      </c>
      <c r="C1265" s="1" t="n">
        <v>209.0</v>
      </c>
      <c r="D1265" s="7" t="n">
        <f>HYPERLINK("https://www.somogyi.hu/product/home-ac-16-audio-atalakito-eloszto-3-5mm-sztereo-dugo-2-x-3-5mm-sztereo-aljzat-ac-16-1698","https://www.somogyi.hu/product/home-ac-16-audio-atalakito-eloszto-3-5mm-sztereo-dugo-2-x-3-5mm-sztereo-aljzat-ac-16-1698")</f>
        <v>0.0</v>
      </c>
      <c r="E1265" s="7" t="n">
        <f>HYPERLINK("https://www.somogyi.hu/data/img/product_main_images/small/01698.jpg","https://www.somogyi.hu/data/img/product_main_images/small/01698.jpg")</f>
        <v>0.0</v>
      </c>
      <c r="F1265" s="2" t="inlineStr">
        <is>
          <t>5998312700631</t>
        </is>
      </c>
      <c r="G1265" s="4" t="inlineStr">
        <is>
          <t>Gondoskodjon róla, hogy mindig felhőtlen élmény legyen a házimozizás! Ezért is keresse a masszív kialakítású RCA átalakítókat a garantált hatás érdekében!
Az AC 16 típus 1 db ∅3,5 mm-es sztereó dugóval és 2 db ∅3,5 mm-es sztereó aljzattal rendelkezik. Válassza a minőségi termékeket és rendeljen webáruházunkból.</t>
        </is>
      </c>
    </row>
    <row r="1266">
      <c r="A1266" s="3" t="inlineStr">
        <is>
          <t>AC 16X</t>
        </is>
      </c>
      <c r="B1266" s="2" t="inlineStr">
        <is>
          <t>Audió átalakító, 3,5 mm sztereó dugó-2 x 3,5 mm sztereó alj</t>
        </is>
      </c>
      <c r="C1266" s="1" t="n">
        <v>319.0</v>
      </c>
      <c r="D1266" s="7" t="n">
        <f>HYPERLINK("https://www.somogyi.hu/product/audio-atalakito-3-5-mm-sztereo-dugo-2-x-3-5-mm-sztereo-alj-ac-16x-2254","https://www.somogyi.hu/product/audio-atalakito-3-5-mm-sztereo-dugo-2-x-3-5-mm-sztereo-alj-ac-16x-2254")</f>
        <v>0.0</v>
      </c>
      <c r="E1266" s="7" t="n">
        <f>HYPERLINK("https://www.somogyi.hu/data/img/product_main_images/small/02254.jpg","https://www.somogyi.hu/data/img/product_main_images/small/02254.jpg")</f>
        <v>0.0</v>
      </c>
      <c r="F1266" s="2" t="inlineStr">
        <is>
          <t>5998312725207</t>
        </is>
      </c>
      <c r="G1266" s="4" t="inlineStr">
        <is>
          <t xml:space="preserve"> • csatlakozók: Ø3,5 mm dugó / 2 x Ø3,5 mm aljzat 
 • egyéb információ: sztereó 
 • bliszterben: igen</t>
        </is>
      </c>
    </row>
    <row r="1267">
      <c r="A1267" s="3" t="inlineStr">
        <is>
          <t>AC 9X</t>
        </is>
      </c>
      <c r="B1267" s="2" t="inlineStr">
        <is>
          <t>Audió átalakító, 6,3 mm sztereó dugó- 3,5 mm sztereó alj</t>
        </is>
      </c>
      <c r="C1267" s="1" t="n">
        <v>369.0</v>
      </c>
      <c r="D1267" s="7" t="n">
        <f>HYPERLINK("https://www.somogyi.hu/product/audio-atalakito-6-3-mm-sztereo-dugo-3-5-mm-sztereo-alj-ac-9x-2258","https://www.somogyi.hu/product/audio-atalakito-6-3-mm-sztereo-dugo-3-5-mm-sztereo-alj-ac-9x-2258")</f>
        <v>0.0</v>
      </c>
      <c r="E1267" s="7" t="n">
        <f>HYPERLINK("https://www.somogyi.hu/data/img/product_main_images/small/02258.jpg","https://www.somogyi.hu/data/img/product_main_images/small/02258.jpg")</f>
        <v>0.0</v>
      </c>
      <c r="F1267" s="2" t="inlineStr">
        <is>
          <t>5998312725245</t>
        </is>
      </c>
      <c r="G1267" s="4" t="inlineStr">
        <is>
          <t xml:space="preserve"> • csatlakozók: Ø6,3 mm dugó / Ø3,5 mm aljzat 
 • egyéb információ: sztereó 
 • bliszterben: igen</t>
        </is>
      </c>
    </row>
    <row r="1268">
      <c r="A1268" s="3" t="inlineStr">
        <is>
          <t>AC 4X</t>
        </is>
      </c>
      <c r="B1268" s="2" t="inlineStr">
        <is>
          <t>Audió átalakító, 6,3 mm monó dugó-RCA alj</t>
        </is>
      </c>
      <c r="C1268" s="1" t="n">
        <v>339.0</v>
      </c>
      <c r="D1268" s="7" t="n">
        <f>HYPERLINK("https://www.somogyi.hu/product/audio-atalakito-6-3-mm-mono-dugo-rca-alj-ac-4x-2257","https://www.somogyi.hu/product/audio-atalakito-6-3-mm-mono-dugo-rca-alj-ac-4x-2257")</f>
        <v>0.0</v>
      </c>
      <c r="E1268" s="7" t="n">
        <f>HYPERLINK("https://www.somogyi.hu/data/img/product_main_images/small/02257.jpg","https://www.somogyi.hu/data/img/product_main_images/small/02257.jpg")</f>
        <v>0.0</v>
      </c>
      <c r="F1268" s="2" t="inlineStr">
        <is>
          <t>5998312725238</t>
        </is>
      </c>
      <c r="G1268" s="4" t="inlineStr">
        <is>
          <t xml:space="preserve"> • csatlakozók: Ø6,3 mm dugó / RCA aljzat 
 • egyéb információ: monó 
 • bliszterben: igen</t>
        </is>
      </c>
    </row>
    <row r="1269">
      <c r="A1269" s="3" t="inlineStr">
        <is>
          <t>AC 9</t>
        </is>
      </c>
      <c r="B1269" s="2" t="inlineStr">
        <is>
          <t>Home AC 6 audióátalakító, 6,3mm sztereó dugó, 3,5mm sztereó aljzat</t>
        </is>
      </c>
      <c r="C1269" s="1" t="n">
        <v>259.0</v>
      </c>
      <c r="D1269" s="7" t="n">
        <f>HYPERLINK("https://www.somogyi.hu/product/home-ac-6-audioatalakito-6-3mm-sztereo-dugo-3-5mm-sztereo-aljzat-ac-9-1711","https://www.somogyi.hu/product/home-ac-6-audioatalakito-6-3mm-sztereo-dugo-3-5mm-sztereo-aljzat-ac-9-1711")</f>
        <v>0.0</v>
      </c>
      <c r="E1269" s="7" t="n">
        <f>HYPERLINK("https://www.somogyi.hu/data/img/product_main_images/small/01711.jpg","https://www.somogyi.hu/data/img/product_main_images/small/01711.jpg")</f>
        <v>0.0</v>
      </c>
      <c r="F1269" s="2" t="inlineStr">
        <is>
          <t>5998312700815</t>
        </is>
      </c>
      <c r="G1269" s="4" t="inlineStr">
        <is>
          <t>Gondoskodjon róla, hogy mindig felhőtlen élmény legyen a házimozizás! Ezért is keresse a masszív kialakítású RCA átalakítókat a garantált hatás érdekében!
Az AC 9 típus 1 db ∅6,3 mm-es sztereó dugóval és 1 db ∅3,5 mm-es sztereó aljzat-átalakítóval rendelkezik. Válassza a minőségi termékeket és rendeljen webáruházunkból.</t>
        </is>
      </c>
    </row>
    <row r="1270">
      <c r="A1270" s="3" t="inlineStr">
        <is>
          <t>AC 6</t>
        </is>
      </c>
      <c r="B1270" s="2" t="inlineStr">
        <is>
          <t>Home AC 6 audióátalakító, 3,5mm sztereó dugó, 6,3mm sztereó aljzat</t>
        </is>
      </c>
      <c r="C1270" s="1" t="n">
        <v>229.0</v>
      </c>
      <c r="D1270" s="7" t="n">
        <f>HYPERLINK("https://www.somogyi.hu/product/home-ac-6-audioatalakito-3-5mm-sztereo-dugo-6-3mm-sztereo-aljzat-ac-6-1709","https://www.somogyi.hu/product/home-ac-6-audioatalakito-3-5mm-sztereo-dugo-6-3mm-sztereo-aljzat-ac-6-1709")</f>
        <v>0.0</v>
      </c>
      <c r="E1270" s="7" t="n">
        <f>HYPERLINK("https://www.somogyi.hu/data/img/product_main_images/small/01709.jpg","https://www.somogyi.hu/data/img/product_main_images/small/01709.jpg")</f>
        <v>0.0</v>
      </c>
      <c r="F1270" s="2" t="inlineStr">
        <is>
          <t>5998312700792</t>
        </is>
      </c>
      <c r="G1270" s="4" t="inlineStr">
        <is>
          <t>Gondoskodjon róla, hogy mindig felhőtlen élmény legyen a házimozizás! Ezért is keresse a masszív kialakítású RCA átalakítókat a garantált hatás érdekében!
Az AC 6 típus 1 db ∅3,5 mm-es sztereó dugóval és 1 db ∅6,3 mm-es sztereó aljzat-átalakítóval rendelkezik. Válassza a minőségi termékeket és rendeljen webáruházunkból.</t>
        </is>
      </c>
    </row>
    <row r="1271">
      <c r="A1271" s="3" t="inlineStr">
        <is>
          <t>AC 6X</t>
        </is>
      </c>
      <c r="B1271" s="2" t="inlineStr">
        <is>
          <t>Audió átalakító, 3,5 mm sztereó dugó-2 x 6,3 mm sztereó alj</t>
        </is>
      </c>
      <c r="C1271" s="1" t="n">
        <v>339.0</v>
      </c>
      <c r="D1271" s="7" t="n">
        <f>HYPERLINK("https://www.somogyi.hu/product/audio-atalakito-3-5-mm-sztereo-dugo-2-x-6-3-mm-sztereo-alj-ac-6x-2255","https://www.somogyi.hu/product/audio-atalakito-3-5-mm-sztereo-dugo-2-x-6-3-mm-sztereo-alj-ac-6x-2255")</f>
        <v>0.0</v>
      </c>
      <c r="E1271" s="7" t="n">
        <f>HYPERLINK("https://www.somogyi.hu/data/img/product_main_images/small/02255.jpg","https://www.somogyi.hu/data/img/product_main_images/small/02255.jpg")</f>
        <v>0.0</v>
      </c>
      <c r="F1271" s="2" t="inlineStr">
        <is>
          <t>5998312725214</t>
        </is>
      </c>
      <c r="G1271" s="4" t="inlineStr">
        <is>
          <t xml:space="preserve"> • csatlakozók: Ø3,5 mm dugó / Ø6,3 mm aljzat 
 • egyéb információ: sztereó 
 • bliszterben: igen</t>
        </is>
      </c>
    </row>
    <row r="1272">
      <c r="A1272" s="3" t="inlineStr">
        <is>
          <t>AC 4</t>
        </is>
      </c>
      <c r="B1272" s="2" t="inlineStr">
        <is>
          <t>Home AC 4 audióátalakító, 6,3mm monó dugó, RCA aljzat</t>
        </is>
      </c>
      <c r="C1272" s="1" t="n">
        <v>229.0</v>
      </c>
      <c r="D1272" s="7" t="n">
        <f>HYPERLINK("https://www.somogyi.hu/product/home-ac-4-audioatalakito-6-3mm-mono-dugo-rca-aljzat-ac-4-1708","https://www.somogyi.hu/product/home-ac-4-audioatalakito-6-3mm-mono-dugo-rca-aljzat-ac-4-1708")</f>
        <v>0.0</v>
      </c>
      <c r="E1272" s="7" t="n">
        <f>HYPERLINK("https://www.somogyi.hu/data/img/product_main_images/small/01708.jpg","https://www.somogyi.hu/data/img/product_main_images/small/01708.jpg")</f>
        <v>0.0</v>
      </c>
      <c r="F1272" s="2" t="inlineStr">
        <is>
          <t>5998312700778</t>
        </is>
      </c>
      <c r="G1272" s="4" t="inlineStr">
        <is>
          <t>Gondoskodjon róla, hogy mindig felhőtlen élményt nyújtson a házimozizás! Ezért is keresse a masszív kialakítású RCA átalakítókat a garantált hatás érdekében!
Az AC 4 típus 1 db ∅6,3 mm-es monó dugóval és 1 db RCA aljzat-átalakítóval rendelkezik. Válassza a minőségi termékeket és rendeljen webáruházunkból.</t>
        </is>
      </c>
    </row>
    <row r="1273">
      <c r="A1273" s="6" t="inlineStr">
        <is>
          <t xml:space="preserve">   Audio-video kiegészítők / Audio- és videocsatlakozó</t>
        </is>
      </c>
      <c r="B1273" s="6" t="inlineStr">
        <is>
          <t/>
        </is>
      </c>
      <c r="C1273" s="6" t="inlineStr">
        <is>
          <t/>
        </is>
      </c>
      <c r="D1273" s="6" t="inlineStr">
        <is>
          <t/>
        </is>
      </c>
      <c r="E1273" s="6" t="inlineStr">
        <is>
          <t/>
        </is>
      </c>
      <c r="F1273" s="6" t="inlineStr">
        <is>
          <t/>
        </is>
      </c>
      <c r="G1273" s="6" t="inlineStr">
        <is>
          <t/>
        </is>
      </c>
    </row>
    <row r="1274">
      <c r="A1274" s="3" t="inlineStr">
        <is>
          <t>SK 4M</t>
        </is>
      </c>
      <c r="B1274" s="2" t="inlineStr">
        <is>
          <t>Home SK 4M jack dugó, 3,5mm sztereó lengődugó, fém, törésgátló</t>
        </is>
      </c>
      <c r="C1274" s="1" t="n">
        <v>279.0</v>
      </c>
      <c r="D1274" s="7" t="n">
        <f>HYPERLINK("https://www.somogyi.hu/product/home-sk-4m-jack-dugo-3-5mm-sztereo-lengodugo-fem-toresgatlo-sk-4m-2005","https://www.somogyi.hu/product/home-sk-4m-jack-dugo-3-5mm-sztereo-lengodugo-fem-toresgatlo-sk-4m-2005")</f>
        <v>0.0</v>
      </c>
      <c r="E1274" s="7" t="n">
        <f>HYPERLINK("https://www.somogyi.hu/data/img/product_main_images/small/02005.jpg","https://www.somogyi.hu/data/img/product_main_images/small/02005.jpg")</f>
        <v>0.0</v>
      </c>
      <c r="F1274" s="2" t="inlineStr">
        <is>
          <t>5998312717417</t>
        </is>
      </c>
      <c r="G1274" s="4" t="inlineStr">
        <is>
          <t>Fém kialakítással rendelkező 3,5 mm-es sztereó lengődugó. Az SK 4M típus előnye, hogy törésgátlóval is el lett látva, ennek révén garantált a hosszú élettartam. Válassza a minőségi termékeket és rendeljen webáruházunkból.</t>
        </is>
      </c>
    </row>
    <row r="1275">
      <c r="A1275" s="3" t="inlineStr">
        <is>
          <t>SK 3M</t>
        </is>
      </c>
      <c r="B1275" s="2" t="inlineStr">
        <is>
          <t>Home SK 3M jack dugó, 6,3mm sztereó lengődugó, fém, törésgátló</t>
        </is>
      </c>
      <c r="C1275" s="1" t="n">
        <v>369.0</v>
      </c>
      <c r="D1275" s="7" t="n">
        <f>HYPERLINK("https://www.somogyi.hu/product/home-sk-3m-jack-dugo-6-3mm-sztereo-lengodugo-fem-toresgatlo-sk-3m-1865","https://www.somogyi.hu/product/home-sk-3m-jack-dugo-6-3mm-sztereo-lengodugo-fem-toresgatlo-sk-3m-1865")</f>
        <v>0.0</v>
      </c>
      <c r="E1275" s="7" t="n">
        <f>HYPERLINK("https://www.somogyi.hu/data/img/product_main_images/small/01865.jpg","https://www.somogyi.hu/data/img/product_main_images/small/01865.jpg")</f>
        <v>0.0</v>
      </c>
      <c r="F1275" s="2" t="inlineStr">
        <is>
          <t>5998312704110</t>
        </is>
      </c>
      <c r="G1275" s="4" t="inlineStr">
        <is>
          <t>Rendkívül masszív és praktikus kialakítással bíró sztereó lengő dugót szeretne vásárolni? Ez esetben keresve sem találhat ideálisabbat, mint az SK 3M. A termék fém kialakítással rendelkezik, valamint törésgátlóval is el lett látva, amelynek köszönhetően garantált a hosszú élettartam. Válassza a minőségi termékeket és rendeljen webáruházunkból.</t>
        </is>
      </c>
    </row>
    <row r="1276">
      <c r="A1276" s="3" t="inlineStr">
        <is>
          <t>RCA 11MF</t>
        </is>
      </c>
      <c r="B1276" s="2" t="inlineStr">
        <is>
          <t>Home RCA 11MF RCA dugó pár, fém, aranyozott, törésgátló, fehér és piros</t>
        </is>
      </c>
      <c r="C1276" s="1" t="n">
        <v>699.0</v>
      </c>
      <c r="D1276" s="7" t="n">
        <f>HYPERLINK("https://www.somogyi.hu/product/home-rca-11mf-rca-dugo-par-fem-aranyozott-toresgatlo-feher-es-piros-rca-11mf-2355","https://www.somogyi.hu/product/home-rca-11mf-rca-dugo-par-fem-aranyozott-toresgatlo-feher-es-piros-rca-11mf-2355")</f>
        <v>0.0</v>
      </c>
      <c r="E1276" s="7" t="n">
        <f>HYPERLINK("https://www.somogyi.hu/data/img/product_main_images/small/02355.jpg","https://www.somogyi.hu/data/img/product_main_images/small/02355.jpg")</f>
        <v>0.0</v>
      </c>
      <c r="F1276" s="2" t="inlineStr">
        <is>
          <t>5998312726600</t>
        </is>
      </c>
      <c r="G1276" s="4" t="inlineStr">
        <is>
          <t>Keresse Ön is a megbízható, minőségi RCA lengődugókat! Az RCA 11MF aranyozott kialakítással rendelkezik! A termék 1 db fehér, valamint 1 db piros jelzésű dugóból áll. Előnye, hogy törésgátlóval is el lett látva, ennek köszönhetően garantált a hosszú élettartam. Válassza a minőségi termékeket és rendeljen webáruházunkból.
A termék csak párban rendelhető. A megadott ár darabra értendő.</t>
        </is>
      </c>
    </row>
    <row r="1277">
      <c r="A1277" s="3" t="inlineStr">
        <is>
          <t>SK 4K</t>
        </is>
      </c>
      <c r="B1277" s="2" t="inlineStr">
        <is>
          <t>Home SK 4K jack aljzat, 3,5mm sztereó lengőaljzat, műanyag, törésgátló</t>
        </is>
      </c>
      <c r="C1277" s="1" t="n">
        <v>229.0</v>
      </c>
      <c r="D1277" s="7" t="n">
        <f>HYPERLINK("https://www.somogyi.hu/product/home-sk-4k-jack-aljzat-3-5mm-sztereo-lengoaljzat-muanyag-toresgatlo-sk-4k-1868","https://www.somogyi.hu/product/home-sk-4k-jack-aljzat-3-5mm-sztereo-lengoaljzat-muanyag-toresgatlo-sk-4k-1868")</f>
        <v>0.0</v>
      </c>
      <c r="E1277" s="7" t="n">
        <f>HYPERLINK("https://www.somogyi.hu/data/img/product_main_images/small/01868.jpg","https://www.somogyi.hu/data/img/product_main_images/small/01868.jpg")</f>
        <v>0.0</v>
      </c>
      <c r="F1277" s="2" t="inlineStr">
        <is>
          <t>5998312704141</t>
        </is>
      </c>
      <c r="G1277" s="4" t="inlineStr">
        <is>
          <t>Masszív műanyag kialakítással rendelkező 3,5 mm-es szteró lengőaljzat. Az SK 4K típus előnye, hogy törésgátlóval is el lett látva, ennek révén garantált a hosszú élettartam. Válassza a minőségi termékeket és rendeljen webáruházunkból.</t>
        </is>
      </c>
    </row>
    <row r="1278">
      <c r="A1278" s="3" t="inlineStr">
        <is>
          <t>SK 2M</t>
        </is>
      </c>
      <c r="B1278" s="2" t="inlineStr">
        <is>
          <t>Home SK 2M jack dugó, 6,3mm monó lengődugó, fém, törésgátló</t>
        </is>
      </c>
      <c r="C1278" s="1" t="n">
        <v>329.0</v>
      </c>
      <c r="D1278" s="7" t="n">
        <f>HYPERLINK("https://www.somogyi.hu/product/home-sk-2m-jack-dugo-6-3mm-mono-lengodugo-fem-toresgatlo-sk-2m-1861","https://www.somogyi.hu/product/home-sk-2m-jack-dugo-6-3mm-mono-lengodugo-fem-toresgatlo-sk-2m-1861")</f>
        <v>0.0</v>
      </c>
      <c r="E1278" s="7" t="n">
        <f>HYPERLINK("https://www.somogyi.hu/data/img/product_main_images/small/01861.jpg","https://www.somogyi.hu/data/img/product_main_images/small/01861.jpg")</f>
        <v>0.0</v>
      </c>
      <c r="F1278" s="2" t="inlineStr">
        <is>
          <t>5998312704073</t>
        </is>
      </c>
      <c r="G1278" s="4" t="inlineStr">
        <is>
          <t>Megbízható kialakítással rendelkező monó lengődugót keres? Ez esetben a fémből készült ∅6,3 mm-es SK 2M garantáltan ideális választás! A termék előnye továbbá, hogy törésgátlóval is el lett látva, amelynek köszönhetően garantált a hosszú élettartam. Válassza a minőségi termékeket és rendeljen webáruházunkból.</t>
        </is>
      </c>
    </row>
    <row r="1279">
      <c r="A1279" s="3" t="inlineStr">
        <is>
          <t>SK 4</t>
        </is>
      </c>
      <c r="B1279" s="2" t="inlineStr">
        <is>
          <t>Home SK 4 jack dugó, 3,5mm sztereó lengődugó, műanyag, törésgátló</t>
        </is>
      </c>
      <c r="C1279" s="1" t="n">
        <v>169.0</v>
      </c>
      <c r="D1279" s="7" t="n">
        <f>HYPERLINK("https://www.somogyi.hu/product/home-sk-4-jack-dugo-3-5mm-sztereo-lengodugo-muanyag-toresgatlo-sk-4-1866","https://www.somogyi.hu/product/home-sk-4-jack-dugo-3-5mm-sztereo-lengodugo-muanyag-toresgatlo-sk-4-1866")</f>
        <v>0.0</v>
      </c>
      <c r="E1279" s="7" t="n">
        <f>HYPERLINK("https://www.somogyi.hu/data/img/product_main_images/small/01866.jpg","https://www.somogyi.hu/data/img/product_main_images/small/01866.jpg")</f>
        <v>0.0</v>
      </c>
      <c r="F1279" s="2" t="inlineStr">
        <is>
          <t>5998312704127</t>
        </is>
      </c>
      <c r="G1279" s="4" t="inlineStr">
        <is>
          <t>Masszív műanyag kialakítással rendelkező 3,5 mm-es sztereó lengődugó. Az SK 4 típus előnye, hogy törésgátlóval is el lett látva, ennek révén garantált a hosszú élettartam. Válassza a minőségi termékeket és rendeljen webáruházunkból.</t>
        </is>
      </c>
    </row>
    <row r="1280">
      <c r="A1280" s="3" t="inlineStr">
        <is>
          <t>SK 4X</t>
        </is>
      </c>
      <c r="B1280" s="2" t="inlineStr">
        <is>
          <t>Jack dugó, sztereó, 3,5mm, 2 db</t>
        </is>
      </c>
      <c r="C1280" s="1" t="n">
        <v>429.0</v>
      </c>
      <c r="D1280" s="7" t="n">
        <f>HYPERLINK("https://www.somogyi.hu/product/jack-dugo-sztereo-3-5mm-2-db-sk-4x-2227","https://www.somogyi.hu/product/jack-dugo-sztereo-3-5mm-2-db-sk-4x-2227")</f>
        <v>0.0</v>
      </c>
      <c r="E1280" s="7" t="n">
        <f>HYPERLINK("https://www.somogyi.hu/data/img/product_main_images/small/02227.jpg","https://www.somogyi.hu/data/img/product_main_images/small/02227.jpg")</f>
        <v>0.0</v>
      </c>
      <c r="F1280" s="2" t="inlineStr">
        <is>
          <t>5998312724927</t>
        </is>
      </c>
      <c r="G1280" s="4" t="inlineStr">
        <is>
          <t xml:space="preserve"> • csatlakozó: Ø3,5 mm dugó 
 • ház anyaga: műanyag 
 • aranyozott: nem 
 • bekötés: forrasztható 
 • sztereó / monó: sztereó 
 • bliszterben: igen</t>
        </is>
      </c>
    </row>
    <row r="1281">
      <c r="A1281" s="3" t="inlineStr">
        <is>
          <t>SK 4KX</t>
        </is>
      </c>
      <c r="B1281" s="2" t="inlineStr">
        <is>
          <t>Jack aljzat, sztereó, lengő, 3,5mm</t>
        </is>
      </c>
      <c r="C1281" s="1" t="n">
        <v>339.0</v>
      </c>
      <c r="D1281" s="7" t="n">
        <f>HYPERLINK("https://www.somogyi.hu/product/jack-aljzat-sztereo-lengo-3-5mm-sk-4kx-2320","https://www.somogyi.hu/product/jack-aljzat-sztereo-lengo-3-5mm-sk-4kx-2320")</f>
        <v>0.0</v>
      </c>
      <c r="E1281" s="7" t="n">
        <f>HYPERLINK("https://www.somogyi.hu/data/img/product_main_images/small/02320.jpg","https://www.somogyi.hu/data/img/product_main_images/small/02320.jpg")</f>
        <v>0.0</v>
      </c>
      <c r="F1281" s="2" t="inlineStr">
        <is>
          <t>5998312725870</t>
        </is>
      </c>
      <c r="G1281" s="4" t="inlineStr">
        <is>
          <t xml:space="preserve"> • csatlakozó: Ø3,5 mm aljzat 
 • ház anyaga: műanyag 
 • aranyozott: nem 
 • bekötés: forrasztható 
 • sztereó / monó: sztereó 
 • bliszterben: igen</t>
        </is>
      </c>
    </row>
    <row r="1282">
      <c r="A1282" s="6" t="inlineStr">
        <is>
          <t xml:space="preserve">   Audio-video kiegészítők / Audiokábel</t>
        </is>
      </c>
      <c r="B1282" s="6" t="inlineStr">
        <is>
          <t/>
        </is>
      </c>
      <c r="C1282" s="6" t="inlineStr">
        <is>
          <t/>
        </is>
      </c>
      <c r="D1282" s="6" t="inlineStr">
        <is>
          <t/>
        </is>
      </c>
      <c r="E1282" s="6" t="inlineStr">
        <is>
          <t/>
        </is>
      </c>
      <c r="F1282" s="6" t="inlineStr">
        <is>
          <t/>
        </is>
      </c>
      <c r="G1282" s="6" t="inlineStr">
        <is>
          <t/>
        </is>
      </c>
    </row>
    <row r="1283">
      <c r="A1283" s="3" t="inlineStr">
        <is>
          <t>MC 625/BK</t>
        </is>
      </c>
      <c r="B1283" s="2" t="inlineStr">
        <is>
          <t>SAL MC 625/BK mikrofonkábel, 2 ér, 0,35 mm2, fekete, 50 m/ tekercs</t>
        </is>
      </c>
      <c r="C1283" s="1" t="n">
        <v>539.0</v>
      </c>
      <c r="D1283" s="7" t="n">
        <f>HYPERLINK("https://www.somogyi.hu/product/sal-mc-625-bk-mikrofonkabel-2-er-0-35-mm2-fekete-50-m-tekercs-mc-625-bk-2591","https://www.somogyi.hu/product/sal-mc-625-bk-mikrofonkabel-2-er-0-35-mm2-fekete-50-m-tekercs-mc-625-bk-2591")</f>
        <v>0.0</v>
      </c>
      <c r="E1283" s="7" t="n">
        <f>HYPERLINK("https://www.somogyi.hu/data/img/product_main_images/small/02591.jpg","https://www.somogyi.hu/data/img/product_main_images/small/02591.jpg")</f>
        <v>0.0</v>
      </c>
      <c r="F1283" s="2" t="inlineStr">
        <is>
          <t>5998312729052</t>
        </is>
      </c>
      <c r="G1283" s="4" t="inlineStr">
        <is>
          <t>Keresse a masszív, megbízható kialakítással rendelkező csatlakozókábeleket!
Az MC 625/BK kerek, fekete színű 2 eres árnyékolt mikrofonkábel. Mérete: 2 x 0,35 mm². Külső átmérője: 6,2 mm. Egy tekercs 50 méter hosszúságú. Válassza a minőségi termékeket és rendeljen webáruházunkból.</t>
        </is>
      </c>
    </row>
    <row r="1284">
      <c r="A1284" s="3" t="inlineStr">
        <is>
          <t>KN 4</t>
        </is>
      </c>
      <c r="B1284" s="2" t="inlineStr">
        <is>
          <t>SAL KN 4 árnyékolt vezeték, 1 ér, 0,14 mm2, fekete, 100 m/ tekercs</t>
        </is>
      </c>
      <c r="C1284" s="1" t="n">
        <v>109.0</v>
      </c>
      <c r="D1284" s="7" t="n">
        <f>HYPERLINK("https://www.somogyi.hu/product/sal-kn-4-arnyekolt-vezetek-1-er-0-14-mm2-fekete-100-m-tekercs-kn-4-1801","https://www.somogyi.hu/product/sal-kn-4-arnyekolt-vezetek-1-er-0-14-mm2-fekete-100-m-tekercs-kn-4-1801")</f>
        <v>0.0</v>
      </c>
      <c r="E1284" s="7" t="n">
        <f>HYPERLINK("https://www.somogyi.hu/data/img/product_main_images/small/01801.jpg","https://www.somogyi.hu/data/img/product_main_images/small/01801.jpg")</f>
        <v>0.0</v>
      </c>
      <c r="F1284" s="2" t="inlineStr">
        <is>
          <t>5998312702888</t>
        </is>
      </c>
      <c r="G1284" s="4" t="inlineStr">
        <is>
          <t>Keresse a masszív, megbízható kialakítással rendelkező vezetékeket!
A KN 4 kerek, fekete színű 1 eres árnyékolt vezeték, amelynek mérete: 1 x 0,14 mm², külső átmérője: 2,8 mm. Egy tekercs 100 méter hosszúságú. Válassza a minőségi termékeket és rendeljen webáruházunkból.</t>
        </is>
      </c>
    </row>
    <row r="1285">
      <c r="A1285" s="3" t="inlineStr">
        <is>
          <t>KN 6</t>
        </is>
      </c>
      <c r="B1285" s="2" t="inlineStr">
        <is>
          <t>SAL KN 6 árnyékolt vezeték, 2 ér, 0,08 mm2, fekete, 100 m/ tekercs</t>
        </is>
      </c>
      <c r="C1285" s="1" t="n">
        <v>199.0</v>
      </c>
      <c r="D1285" s="7" t="n">
        <f>HYPERLINK("https://www.somogyi.hu/product/sal-kn-6-arnyekolt-vezetek-2-er-0-08-mm2-fekete-100-m-tekercs-kn-6-1802","https://www.somogyi.hu/product/sal-kn-6-arnyekolt-vezetek-2-er-0-08-mm2-fekete-100-m-tekercs-kn-6-1802")</f>
        <v>0.0</v>
      </c>
      <c r="E1285" s="7" t="n">
        <f>HYPERLINK("https://www.somogyi.hu/data/img/product_main_images/small/01802.jpg","https://www.somogyi.hu/data/img/product_main_images/small/01802.jpg")</f>
        <v>0.0</v>
      </c>
      <c r="F1285" s="2" t="inlineStr">
        <is>
          <t>5998312702895</t>
        </is>
      </c>
      <c r="G1285" s="4" t="inlineStr">
        <is>
          <t>Keresse a masszív, megbízható kialakítással rendelkező vezetékeket!
A KN 6 lapos, fekete színű 2 eres árnyékolt (erenként) vezeték, amelynek mérete: 2 x 0,08 mm², külső átmérője: 2,8 x 5,6 mm. Egy tekercs 100 méter hosszúságú. Válassza a minőségi termékeket és rendeljen webáruházunkból.</t>
        </is>
      </c>
    </row>
    <row r="1286">
      <c r="A1286" s="6" t="inlineStr">
        <is>
          <t xml:space="preserve">   Audio-video kiegészítők / Koaxiális kábel</t>
        </is>
      </c>
      <c r="B1286" s="6" t="inlineStr">
        <is>
          <t/>
        </is>
      </c>
      <c r="C1286" s="6" t="inlineStr">
        <is>
          <t/>
        </is>
      </c>
      <c r="D1286" s="6" t="inlineStr">
        <is>
          <t/>
        </is>
      </c>
      <c r="E1286" s="6" t="inlineStr">
        <is>
          <t/>
        </is>
      </c>
      <c r="F1286" s="6" t="inlineStr">
        <is>
          <t/>
        </is>
      </c>
      <c r="G1286" s="6" t="inlineStr">
        <is>
          <t/>
        </is>
      </c>
    </row>
    <row r="1287">
      <c r="A1287" s="3" t="inlineStr">
        <is>
          <t>S 6TSV/WH</t>
        </is>
      </c>
      <c r="B1287" s="2" t="inlineStr">
        <is>
          <t>Home S 6TSV/WH koax kábel, 75 Ohm, PVC és PE szigetelés, réz bevonatú acél ér, alumínium + PET fólia 96 szál aluharisnya, 305m, fehér</t>
        </is>
      </c>
      <c r="C1287" s="1" t="n">
        <v>31790.0</v>
      </c>
      <c r="D1287" s="7" t="n">
        <f>HYPERLINK("https://www.somogyi.hu/product/home-s-6tsv-wh-koax-kabel-75-ohm-pvc-es-pe-szigeteles-rez-bevonatu-acel-er-aluminium-pet-folia-96-szal-aluharisnya-305m-feher-s-6tsv-wh-3115","https://www.somogyi.hu/product/home-s-6tsv-wh-koax-kabel-75-ohm-pvc-es-pe-szigeteles-rez-bevonatu-acel-er-aluminium-pet-folia-96-szal-aluharisnya-305m-feher-s-6tsv-wh-3115")</f>
        <v>0.0</v>
      </c>
      <c r="E1287" s="7" t="n">
        <f>HYPERLINK("https://www.somogyi.hu/data/img/product_main_images/small/03115.jpg","https://www.somogyi.hu/data/img/product_main_images/small/03115.jpg")</f>
        <v>0.0</v>
      </c>
      <c r="F1287" s="2" t="inlineStr">
        <is>
          <t>5998312734391</t>
        </is>
      </c>
      <c r="G1287" s="4" t="inlineStr">
        <is>
          <t>Professzionális kialakítású kültéri koax kábel, amely 75 Ω impedanciával, valamint 1,02 mm réz bevonatú acél belső érrel rendelkezik. A kábel háromszoros árnyékolású (80 % -os). Az S 6TSV/WH fehér színben, 305 m/ tekercsben kapható. Válassza a minőségi termékeket és rendeljen webáruházunkból.</t>
        </is>
      </c>
    </row>
    <row r="1288">
      <c r="A1288" s="3" t="inlineStr">
        <is>
          <t>RG 6U/BK</t>
        </is>
      </c>
      <c r="B1288" s="2" t="inlineStr">
        <is>
          <t>Home RG 6U/BK koax kábel, 75 Ohm, PVC és PE szigetelés, réz bevonatú acél ér, 48 szál rézharisnya, alumínium + PET fólia, 100m, fekete</t>
        </is>
      </c>
      <c r="C1288" s="1" t="n">
        <v>95.0</v>
      </c>
      <c r="D1288" s="7" t="n">
        <f>HYPERLINK("https://www.somogyi.hu/product/home-rg-6u-bk-koax-kabel-75-ohm-pvc-es-pe-szigeteles-rez-bevonatu-acel-er-48-szal-rezharisnya-aluminium-pet-folia-100m-fekete-rg-6u-bk-3007","https://www.somogyi.hu/product/home-rg-6u-bk-koax-kabel-75-ohm-pvc-es-pe-szigeteles-rez-bevonatu-acel-er-48-szal-rezharisnya-aluminium-pet-folia-100m-fekete-rg-6u-bk-3007")</f>
        <v>0.0</v>
      </c>
      <c r="E1288" s="7" t="n">
        <f>HYPERLINK("https://www.somogyi.hu/data/img/product_main_images/small/03007.jpg","https://www.somogyi.hu/data/img/product_main_images/small/03007.jpg")</f>
        <v>0.0</v>
      </c>
      <c r="F1288" s="2" t="inlineStr">
        <is>
          <t>5998312733318</t>
        </is>
      </c>
      <c r="G1288" s="4" t="inlineStr">
        <is>
          <t>Professzionális kialakítású koax kábel, amely 75 Ω impedanciával, valamint 1,0 mm réz bevonatú acél belső érrel rendelkezik. A kábel kétszeres árnyékolású. Az RG 6U/BK fekete színben, 100 m/ tekercsben kapható. Válassza a minőségi termékeket és rendeljen webáruházunkból.</t>
        </is>
      </c>
    </row>
    <row r="1289">
      <c r="A1289" s="3" t="inlineStr">
        <is>
          <t>RG 6-32/BK</t>
        </is>
      </c>
      <c r="B1289" s="2" t="inlineStr">
        <is>
          <t>Home RG 6-32/BK koax kábel, 75 Ohm, PVC és PE szigetelés, réz ér, 32 szál rézharisnya, alumínium + PET fólia, 100m, fekete</t>
        </is>
      </c>
      <c r="C1289" s="1" t="n">
        <v>189.0</v>
      </c>
      <c r="D1289" s="7" t="n">
        <f>HYPERLINK("https://www.somogyi.hu/product/home-rg-6-32-bk-koax-kabel-75-ohm-pvc-es-pe-szigeteles-rez-er-32-szal-rezharisnya-aluminium-pet-folia-100m-fekete-rg-6-32-bk-2330","https://www.somogyi.hu/product/home-rg-6-32-bk-koax-kabel-75-ohm-pvc-es-pe-szigeteles-rez-er-32-szal-rezharisnya-aluminium-pet-folia-100m-fekete-rg-6-32-bk-2330")</f>
        <v>0.0</v>
      </c>
      <c r="E1289" s="7" t="n">
        <f>HYPERLINK("https://www.somogyi.hu/data/img/product_main_images/small/02330.jpg","https://www.somogyi.hu/data/img/product_main_images/small/02330.jpg")</f>
        <v>0.0</v>
      </c>
      <c r="F1289" s="2" t="inlineStr">
        <is>
          <t>5998312726181</t>
        </is>
      </c>
      <c r="G1289" s="4" t="inlineStr">
        <is>
          <t>Professzionális kialakítású koax kábel, amely 75 Ω impedanciával, valamint 0,9 mm réz belső érrel rendelkezik. A kábel kétszeres árnyékolású. Az RG 6-32/BK fekete színben, 100 m/ tekercsben kapható. Válassza a minőségi termékeket és rendeljen webáruházunkból.</t>
        </is>
      </c>
    </row>
    <row r="1290">
      <c r="A1290" s="3" t="inlineStr">
        <is>
          <t>RG 6U/WH</t>
        </is>
      </c>
      <c r="B1290" s="2" t="inlineStr">
        <is>
          <t>Home RG 6U/WH koax kábel, 75 Ohm, PVC és PE szigetelés, réz bevonatú acél ér, 48 szál rézharisnya, alumínium + PET fólia, 100m, fehér</t>
        </is>
      </c>
      <c r="C1290" s="1" t="n">
        <v>95.0</v>
      </c>
      <c r="D1290" s="7" t="n">
        <f>HYPERLINK("https://www.somogyi.hu/product/home-rg-6u-wh-koax-kabel-75-ohm-pvc-es-pe-szigeteles-rez-bevonatu-acel-er-48-szal-rezharisnya-aluminium-pet-folia-100m-feher-rg-6u-wh-3006","https://www.somogyi.hu/product/home-rg-6u-wh-koax-kabel-75-ohm-pvc-es-pe-szigeteles-rez-bevonatu-acel-er-48-szal-rezharisnya-aluminium-pet-folia-100m-feher-rg-6u-wh-3006")</f>
        <v>0.0</v>
      </c>
      <c r="E1290" s="7" t="n">
        <f>HYPERLINK("https://www.somogyi.hu/data/img/product_main_images/small/03006.jpg","https://www.somogyi.hu/data/img/product_main_images/small/03006.jpg")</f>
        <v>0.0</v>
      </c>
      <c r="F1290" s="2" t="inlineStr">
        <is>
          <t>5998312733301</t>
        </is>
      </c>
      <c r="G1290" s="4" t="inlineStr">
        <is>
          <t>Professzionális kialakítású koax kábel, amely 75 Ω impedanciával, valamint 1,0 mm réz bevonatú acél belső érrel rendelkezik. A kábel kétszeres árnyékolású. Az RG 6U/WH fehér színben, 100 m/ tekercsben kapható. Válassza a minőségi termékeket és rendeljen webáruházunkból.</t>
        </is>
      </c>
    </row>
    <row r="1291">
      <c r="A1291" s="3" t="inlineStr">
        <is>
          <t>RG 6U-500/WH</t>
        </is>
      </c>
      <c r="B1291" s="2" t="inlineStr">
        <is>
          <t>Home RG 6U-500/WH koax kábel, 75 Ohm, PVC és PE szigetelés, réz bevonatú acél ér, 48 szál rézharisnya, alumínium + PET fólia, 500m, fehér</t>
        </is>
      </c>
      <c r="C1291" s="1" t="n">
        <v>45790.0</v>
      </c>
      <c r="D1291" s="7" t="n">
        <f>HYPERLINK("https://www.somogyi.hu/product/home-rg-6u-500-wh-koax-kabel-75-ohm-pvc-es-pe-szigeteles-rez-bevonatu-acel-er-48-szal-rezharisnya-aluminium-pet-folia-500m-feher-rg-6u-500-wh-4220","https://www.somogyi.hu/product/home-rg-6u-500-wh-koax-kabel-75-ohm-pvc-es-pe-szigeteles-rez-bevonatu-acel-er-48-szal-rezharisnya-aluminium-pet-folia-500m-feher-rg-6u-500-wh-4220")</f>
        <v>0.0</v>
      </c>
      <c r="E1291" s="7" t="n">
        <f>HYPERLINK("https://www.somogyi.hu/data/img/product_main_images/small/04220.jpg","https://www.somogyi.hu/data/img/product_main_images/small/04220.jpg")</f>
        <v>0.0</v>
      </c>
      <c r="F1291" s="2" t="inlineStr">
        <is>
          <t>5998312737378</t>
        </is>
      </c>
      <c r="G1291" s="4" t="inlineStr">
        <is>
          <t>Professzionális kialakítású koax kábel, amely 75 Ω impedanciával, valamint 1,0 mm réz bevonatú acél belső érrel rendelkezik. A kábel kétszeres árnyékolású. Az RG 6U-500/WH fehér színben, 500 m/ tekercsben kapható. Válassza a minőségi termékeket és rendeljen webáruházunkból.</t>
        </is>
      </c>
    </row>
    <row r="1292">
      <c r="A1292" s="3" t="inlineStr">
        <is>
          <t>RG 58</t>
        </is>
      </c>
      <c r="B1292" s="2" t="inlineStr">
        <is>
          <t>Home RG 58 koax kábel, 50 Ohm, PVC és PE szigetelés, 19 réz ér, 96 szál rézharisnya, 100m, fekete</t>
        </is>
      </c>
      <c r="C1292" s="1" t="n">
        <v>279.0</v>
      </c>
      <c r="D1292" s="7" t="n">
        <f>HYPERLINK("https://www.somogyi.hu/product/home-rg-58-koax-kabel-50-ohm-pvc-es-pe-szigeteles-19-rez-er-96-szal-rezharisnya-100m-fekete-rg-58-1820","https://www.somogyi.hu/product/home-rg-58-koax-kabel-50-ohm-pvc-es-pe-szigeteles-19-rez-er-96-szal-rezharisnya-100m-fekete-rg-58-1820")</f>
        <v>0.0</v>
      </c>
      <c r="E1292" s="7" t="n">
        <f>HYPERLINK("https://www.somogyi.hu/data/img/product_main_images/small/01820.jpg","https://www.somogyi.hu/data/img/product_main_images/small/01820.jpg")</f>
        <v>0.0</v>
      </c>
      <c r="F1292" s="2" t="inlineStr">
        <is>
          <t>5998312703410</t>
        </is>
      </c>
      <c r="G1292" s="4" t="inlineStr">
        <is>
          <t>Professzionális kialakítású koax kábel, amely 50 Ω impedanciával, valamint 0,18 mm x 19 réz belső érrel rendelkezik. Az RG 58 fekete színben, 100 m/ tekercsben kapható. Válassza a minőségi termékeket és rendeljen webáruházunkból.</t>
        </is>
      </c>
    </row>
    <row r="1293">
      <c r="A1293" s="3" t="inlineStr">
        <is>
          <t>S 6TSV/BK</t>
        </is>
      </c>
      <c r="B1293" s="2" t="inlineStr">
        <is>
          <t>Home S 6TSV/BK koax kábel, 75 Ohm, PVC és PE szigetelés, réz bevonatú acél ér, alumínium + PET fólia 96 szál aluharisnya, 305m, fekete</t>
        </is>
      </c>
      <c r="C1293" s="1" t="n">
        <v>31790.0</v>
      </c>
      <c r="D1293" s="7" t="n">
        <f>HYPERLINK("https://www.somogyi.hu/product/home-s-6tsv-bk-koax-kabel-75-ohm-pvc-es-pe-szigeteles-rez-bevonatu-acel-er-aluminium-pet-folia-96-szal-aluharisnya-305m-fekete-s-6tsv-bk-2879","https://www.somogyi.hu/product/home-s-6tsv-bk-koax-kabel-75-ohm-pvc-es-pe-szigeteles-rez-bevonatu-acel-er-aluminium-pet-folia-96-szal-aluharisnya-305m-fekete-s-6tsv-bk-2879")</f>
        <v>0.0</v>
      </c>
      <c r="E1293" s="7" t="n">
        <f>HYPERLINK("https://www.somogyi.hu/data/img/product_main_images/small/02879.jpg","https://www.somogyi.hu/data/img/product_main_images/small/02879.jpg")</f>
        <v>0.0</v>
      </c>
      <c r="F1293" s="2" t="inlineStr">
        <is>
          <t>5998312732038</t>
        </is>
      </c>
      <c r="G1293" s="4" t="inlineStr">
        <is>
          <t>Professzionális kialakítású kültéri koax kábel, amely 75 Ω impedanciával, valamint 1,02 mm réz bevonatú acél belső érrel rendelkezik. A kábel háromszoros árnyékolású (80 % -os). Az S 6TSV/BK fekete színben, 305 m/ tekercsben kapható. Válassza a minőségi termékeket és rendeljen webáruházunkból.</t>
        </is>
      </c>
    </row>
    <row r="1294">
      <c r="A1294" s="3" t="inlineStr">
        <is>
          <t>S 6TSP/WH</t>
        </is>
      </c>
      <c r="B1294" s="2" t="inlineStr">
        <is>
          <t>Home S 6TSP/WH koax kábel, 75 Ohm, PVC és PE szigetelés, réz bevonatú acél ér, alumínium + PET fólia 96 szál aluharisnya, 100m, fehér</t>
        </is>
      </c>
      <c r="C1294" s="1" t="n">
        <v>11490.0</v>
      </c>
      <c r="D1294" s="7" t="n">
        <f>HYPERLINK("https://www.somogyi.hu/product/home-s-6tsp-wh-koax-kabel-75-ohm-pvc-es-pe-szigeteles-rez-bevonatu-acel-er-aluminium-pet-folia-96-szal-aluharisnya-100m-feher-s-6tsp-wh-11827","https://www.somogyi.hu/product/home-s-6tsp-wh-koax-kabel-75-ohm-pvc-es-pe-szigeteles-rez-bevonatu-acel-er-aluminium-pet-folia-96-szal-aluharisnya-100m-feher-s-6tsp-wh-11827")</f>
        <v>0.0</v>
      </c>
      <c r="E1294" s="7" t="n">
        <f>HYPERLINK("https://www.somogyi.hu/data/img/product_main_images/small/11827.jpg","https://www.somogyi.hu/data/img/product_main_images/small/11827.jpg")</f>
        <v>0.0</v>
      </c>
      <c r="F1294" s="2" t="inlineStr">
        <is>
          <t>5999084900397</t>
        </is>
      </c>
      <c r="G1294" s="4" t="inlineStr">
        <is>
          <t>Professzionális kialakítású kültéri koax kábel, amely 75 Ω impedanciával, valamint 1,02 mm réz bevonatú acél belső érrel rendelkezik. A kábel háromszoros árnyékolású (80 % -os). Az S 6TSV/WH fehér színben, 100 m/ tekercsben kapható. Válassza a minőségi termékeket és rendeljen webáruházunkból.</t>
        </is>
      </c>
    </row>
    <row r="1295">
      <c r="A1295" s="3" t="inlineStr">
        <is>
          <t>RG 6-32/WH</t>
        </is>
      </c>
      <c r="B1295" s="2" t="inlineStr">
        <is>
          <t>Home RG 6-32/WH koax kábel, 75 Ohm, PVC és PE szigetelés, réz ér, 32 szál rézharisnya, alumínium + PET fólia, 100m, fehér</t>
        </is>
      </c>
      <c r="C1295" s="1" t="n">
        <v>189.0</v>
      </c>
      <c r="D1295" s="7" t="n">
        <f>HYPERLINK("https://www.somogyi.hu/product/home-rg-6-32-wh-koax-kabel-75-ohm-pvc-es-pe-szigeteles-rez-er-32-szal-rezharisnya-aluminium-pet-folia-100m-feher-rg-6-32-wh-2329","https://www.somogyi.hu/product/home-rg-6-32-wh-koax-kabel-75-ohm-pvc-es-pe-szigeteles-rez-er-32-szal-rezharisnya-aluminium-pet-folia-100m-feher-rg-6-32-wh-2329")</f>
        <v>0.0</v>
      </c>
      <c r="E1295" s="7" t="n">
        <f>HYPERLINK("https://www.somogyi.hu/data/img/product_main_images/small/02329.jpg","https://www.somogyi.hu/data/img/product_main_images/small/02329.jpg")</f>
        <v>0.0</v>
      </c>
      <c r="F1295" s="2" t="inlineStr">
        <is>
          <t>5998312726167</t>
        </is>
      </c>
      <c r="G1295" s="4" t="inlineStr">
        <is>
          <t>Professzionális kialakítású koax kábel, amely 75 Ω impedanciával, valamint 0,9 mm réz belső érrel rendelkezik. A kábel kétszeres árnyékolású. Az RG 6-32/WH fehér színben, 100 m/ tekercsben kapható. Válassza a minőségi termékeket és rendeljen webáruházunkból.</t>
        </is>
      </c>
    </row>
    <row r="1296">
      <c r="A1296" s="3" t="inlineStr">
        <is>
          <t>KH 3</t>
        </is>
      </c>
      <c r="B1296" s="2" t="inlineStr">
        <is>
          <t>Home KH 3 koax kábel, 75 Ohm, PVC és PE szigetelés, réz bevonatú acél ér, 48 szál rézharisnya, alumínium fólia 100m, fehér</t>
        </is>
      </c>
      <c r="C1296" s="1" t="n">
        <v>129.0</v>
      </c>
      <c r="D1296" s="7" t="n">
        <f>HYPERLINK("https://www.somogyi.hu/product/home-kh-3-koax-kabel-75-ohm-pvc-es-pe-szigeteles-rez-bevonatu-acel-er-48-szal-rezharisnya-aluminium-folia-100m-feher-kh-3-1796","https://www.somogyi.hu/product/home-kh-3-koax-kabel-75-ohm-pvc-es-pe-szigeteles-rez-bevonatu-acel-er-48-szal-rezharisnya-aluminium-folia-100m-feher-kh-3-1796")</f>
        <v>0.0</v>
      </c>
      <c r="E1296" s="7" t="n">
        <f>HYPERLINK("https://www.somogyi.hu/data/img/product_main_images/small/01796.jpg","https://www.somogyi.hu/data/img/product_main_images/small/01796.jpg")</f>
        <v>0.0</v>
      </c>
      <c r="F1296" s="2" t="inlineStr">
        <is>
          <t>5998312702826</t>
        </is>
      </c>
      <c r="G1296" s="4" t="inlineStr">
        <is>
          <t>Professzionális kialakítású koax kábel, amely 75 Ω impedanciával, valamint 0,5 mm réz bevonatú acél belső érrel rendelkezik. A kábel kétszeres árnyékolású. A KH 3 fehér színben, 100 m/ tekercsben kapható. Válassza a minőségi termékeket és rendeljen webáruházunkból.</t>
        </is>
      </c>
    </row>
    <row r="1297">
      <c r="A1297" s="6" t="inlineStr">
        <is>
          <t xml:space="preserve">   Audio-video kiegészítők / Koaxiális csatlakozó, elosztó, F csatlakozó</t>
        </is>
      </c>
      <c r="B1297" s="6" t="inlineStr">
        <is>
          <t/>
        </is>
      </c>
      <c r="C1297" s="6" t="inlineStr">
        <is>
          <t/>
        </is>
      </c>
      <c r="D1297" s="6" t="inlineStr">
        <is>
          <t/>
        </is>
      </c>
      <c r="E1297" s="6" t="inlineStr">
        <is>
          <t/>
        </is>
      </c>
      <c r="F1297" s="6" t="inlineStr">
        <is>
          <t/>
        </is>
      </c>
      <c r="G1297" s="6" t="inlineStr">
        <is>
          <t/>
        </is>
      </c>
    </row>
    <row r="1298">
      <c r="A1298" s="3" t="inlineStr">
        <is>
          <t>FS 14X</t>
        </is>
      </c>
      <c r="B1298" s="2" t="inlineStr">
        <is>
          <t>Koax dugó, fém</t>
        </is>
      </c>
      <c r="C1298" s="1" t="n">
        <v>479.0</v>
      </c>
      <c r="D1298" s="7" t="n">
        <f>HYPERLINK("https://www.somogyi.hu/product/koax-dugo-fem-fs-14x-2195","https://www.somogyi.hu/product/koax-dugo-fem-fs-14x-2195")</f>
        <v>0.0</v>
      </c>
      <c r="E1298" s="7" t="n">
        <f>HYPERLINK("https://www.somogyi.hu/data/img/product_main_images/small/02195.jpg","https://www.somogyi.hu/data/img/product_main_images/small/02195.jpg")</f>
        <v>0.0</v>
      </c>
      <c r="F1298" s="2" t="inlineStr">
        <is>
          <t>5998312724606</t>
        </is>
      </c>
      <c r="G1298" s="4" t="inlineStr">
        <is>
          <t xml:space="preserve"> • csatlakozók: koax dugó 
 • ház anyaga: fém 
 • bekötés: csavaros 
 • bliszterben: igen</t>
        </is>
      </c>
    </row>
    <row r="1299">
      <c r="A1299" s="3" t="inlineStr">
        <is>
          <t>FS 18X</t>
        </is>
      </c>
      <c r="B1299" s="2" t="inlineStr">
        <is>
          <t>Koax dugó</t>
        </is>
      </c>
      <c r="C1299" s="1" t="n">
        <v>369.0</v>
      </c>
      <c r="D1299" s="7" t="n">
        <f>HYPERLINK("https://www.somogyi.hu/product/koax-dugo-fs-18x-2191","https://www.somogyi.hu/product/koax-dugo-fs-18x-2191")</f>
        <v>0.0</v>
      </c>
      <c r="E1299" s="7" t="n">
        <f>HYPERLINK("https://www.somogyi.hu/data/img/product_main_images/small/02191.jpg","https://www.somogyi.hu/data/img/product_main_images/small/02191.jpg")</f>
        <v>0.0</v>
      </c>
      <c r="F1299" s="2" t="inlineStr">
        <is>
          <t>5998312724569</t>
        </is>
      </c>
      <c r="G1299" s="4" t="inlineStr">
        <is>
          <t xml:space="preserve"> • csatlakozók: koax dugó 
 • ház anyaga: műanyag 
 • bekötés: csavaros 
 • bliszterben: igen</t>
        </is>
      </c>
    </row>
    <row r="1300">
      <c r="A1300" s="3" t="inlineStr">
        <is>
          <t>TS 1911X</t>
        </is>
      </c>
      <c r="B1300" s="2" t="inlineStr">
        <is>
          <t>F elosztó, 3 utas</t>
        </is>
      </c>
      <c r="C1300" s="1" t="n">
        <v>379.0</v>
      </c>
      <c r="D1300" s="7" t="n">
        <f>HYPERLINK("https://www.somogyi.hu/product/f-eloszto-3-utas-ts-1911x-2187","https://www.somogyi.hu/product/f-eloszto-3-utas-ts-1911x-2187")</f>
        <v>0.0</v>
      </c>
      <c r="E1300" s="7" t="n">
        <f>HYPERLINK("https://www.somogyi.hu/data/img/product_main_images/small/02187.jpg","https://www.somogyi.hu/data/img/product_main_images/small/02187.jpg")</f>
        <v>0.0</v>
      </c>
      <c r="F1300" s="2" t="inlineStr">
        <is>
          <t>5998312724521</t>
        </is>
      </c>
      <c r="G1300" s="4" t="inlineStr">
        <is>
          <t xml:space="preserve"> • csatlakozók: "F" bemenet / 3 x "F" kimenet 
 • ház anyaga: fém 
 • frekvenciaátvitel: 5 - 900 MHz 
 • bliszterben: igen</t>
        </is>
      </c>
    </row>
    <row r="1301">
      <c r="A1301" s="3" t="inlineStr">
        <is>
          <t>FF 18X</t>
        </is>
      </c>
      <c r="B1301" s="2" t="inlineStr">
        <is>
          <t>Átalakító, koax dugó-F aljzat</t>
        </is>
      </c>
      <c r="C1301" s="1" t="n">
        <v>569.0</v>
      </c>
      <c r="D1301" s="7" t="n">
        <f>HYPERLINK("https://www.somogyi.hu/product/atalakito-koax-dugo-f-aljzat-ff-18x-2183","https://www.somogyi.hu/product/atalakito-koax-dugo-f-aljzat-ff-18x-2183")</f>
        <v>0.0</v>
      </c>
      <c r="E1301" s="7" t="n">
        <f>HYPERLINK("https://www.somogyi.hu/data/img/product_main_images/small/02183.jpg","https://www.somogyi.hu/data/img/product_main_images/small/02183.jpg")</f>
        <v>0.0</v>
      </c>
      <c r="F1301" s="2" t="inlineStr">
        <is>
          <t>5998312724484</t>
        </is>
      </c>
      <c r="G1301" s="4" t="inlineStr">
        <is>
          <t xml:space="preserve"> • csatlakozók: koax dugó / F aljzat 
 • ház anyaga: fém 
 • bliszterben: igen</t>
        </is>
      </c>
    </row>
    <row r="1302">
      <c r="A1302" s="3" t="inlineStr">
        <is>
          <t>FF 1X</t>
        </is>
      </c>
      <c r="B1302" s="2" t="inlineStr">
        <is>
          <t>F dugó, RG 6-hoz</t>
        </is>
      </c>
      <c r="C1302" s="1" t="n">
        <v>269.0</v>
      </c>
      <c r="D1302" s="7" t="n">
        <f>HYPERLINK("https://www.somogyi.hu/product/f-dugo-rg-6-hoz-ff-1x-2177","https://www.somogyi.hu/product/f-dugo-rg-6-hoz-ff-1x-2177")</f>
        <v>0.0</v>
      </c>
      <c r="E1302" s="7" t="n">
        <f>HYPERLINK("https://www.somogyi.hu/data/img/product_main_images/small/02177.jpg","https://www.somogyi.hu/data/img/product_main_images/small/02177.jpg")</f>
        <v>0.0</v>
      </c>
      <c r="F1302" s="2" t="inlineStr">
        <is>
          <t>5998312724422</t>
        </is>
      </c>
      <c r="G1302" s="4" t="inlineStr">
        <is>
          <t xml:space="preserve"> • csatlakozók: F dugó 
 • ház anyaga: fém 
 • bekötés: tekerhető (RG 6-ra) 
 • bliszterben: igen</t>
        </is>
      </c>
    </row>
    <row r="1303">
      <c r="A1303" s="3" t="inlineStr">
        <is>
          <t>FS 28</t>
        </is>
      </c>
      <c r="B1303" s="2" t="inlineStr">
        <is>
          <t>Home FS 27 koax elosztó, 1 dugó, 2 aljzat, "T" alak</t>
        </is>
      </c>
      <c r="C1303" s="1" t="n">
        <v>699.0</v>
      </c>
      <c r="D1303" s="7" t="n">
        <f>HYPERLINK("https://www.somogyi.hu/product/home-fs-27-koax-eloszto-1-dugo-2-aljzat-t-alak-fs-28-1780","https://www.somogyi.hu/product/home-fs-27-koax-eloszto-1-dugo-2-aljzat-t-alak-fs-28-1780")</f>
        <v>0.0</v>
      </c>
      <c r="E1303" s="7" t="n">
        <f>HYPERLINK("https://www.somogyi.hu/data/img/product_main_images/small/01780.jpg","https://www.somogyi.hu/data/img/product_main_images/small/01780.jpg")</f>
        <v>0.0</v>
      </c>
      <c r="F1303" s="2" t="inlineStr">
        <is>
          <t>5998312702420</t>
        </is>
      </c>
      <c r="G1303" s="4" t="inlineStr">
        <is>
          <t>Megbízható kialakítású koax csatlakozót keres? Ez esetben tekintse meg csatlakozóink széles kínálatát! Az FS 28 „T” alakú fém koax elosztó 1 db dugóból és 2 db aljzattal rendelkezik. Válassza a minőségi termékeket és rendeljen webáruházunkból.</t>
        </is>
      </c>
    </row>
    <row r="1304">
      <c r="A1304" s="3" t="inlineStr">
        <is>
          <t>FF 15</t>
        </is>
      </c>
      <c r="B1304" s="2" t="inlineStr">
        <is>
          <t>Home FF 13 csatlakozó átalakító, dugó-aljzat, fém, csavarható, pipa kivitel</t>
        </is>
      </c>
      <c r="C1304" s="1" t="n">
        <v>449.0</v>
      </c>
      <c r="D1304" s="7" t="n">
        <f>HYPERLINK("https://www.somogyi.hu/product/home-ff-13-csatlakozo-atalakito-dugo-aljzat-fem-csavarhato-pipa-kivitel-ff-15-1762","https://www.somogyi.hu/product/home-ff-13-csatlakozo-atalakito-dugo-aljzat-fem-csavarhato-pipa-kivitel-ff-15-1762")</f>
        <v>0.0</v>
      </c>
      <c r="E1304" s="7" t="n">
        <f>HYPERLINK("https://www.somogyi.hu/data/img/product_main_images/small/01762.jpg","https://www.somogyi.hu/data/img/product_main_images/small/01762.jpg")</f>
        <v>0.0</v>
      </c>
      <c r="F1304" s="2" t="inlineStr">
        <is>
          <t>5998312702185</t>
        </is>
      </c>
      <c r="G1304" s="4" t="inlineStr">
        <is>
          <t>Széles kínálatunkban garantáltan megtalálhatja az igényeinek megfelelő csatlakozókat és átalakítókat! Az FF 15 fém kialakítással rendelkező pipa alakú F dugó és F aljzat. Válassza a minőségi termékeket és rendeljen webáruházunkból.</t>
        </is>
      </c>
    </row>
    <row r="1305">
      <c r="A1305" s="3" t="inlineStr">
        <is>
          <t>TS 1913X</t>
        </is>
      </c>
      <c r="B1305" s="2" t="inlineStr">
        <is>
          <t>F elosztó, 4 utas</t>
        </is>
      </c>
      <c r="C1305" s="1" t="n">
        <v>649.0</v>
      </c>
      <c r="D1305" s="7" t="n">
        <f>HYPERLINK("https://www.somogyi.hu/product/f-eloszto-4-utas-ts-1913x-2188","https://www.somogyi.hu/product/f-eloszto-4-utas-ts-1913x-2188")</f>
        <v>0.0</v>
      </c>
      <c r="E1305" s="7" t="n">
        <f>HYPERLINK("https://www.somogyi.hu/data/img/product_main_images/small/02188.jpg","https://www.somogyi.hu/data/img/product_main_images/small/02188.jpg")</f>
        <v>0.0</v>
      </c>
      <c r="F1305" s="2" t="inlineStr">
        <is>
          <t>5998312724538</t>
        </is>
      </c>
      <c r="G1305" s="4" t="inlineStr">
        <is>
          <t xml:space="preserve"> • csatlakozók: "F" bemenet / 4 x "F" kimenet 
 • ház anyaga: fém 
 • frekvenciaátvitel: 5 - 900 MHz 
 • bliszterben: igen</t>
        </is>
      </c>
    </row>
    <row r="1306">
      <c r="A1306" s="3" t="inlineStr">
        <is>
          <t>TS 1910X</t>
        </is>
      </c>
      <c r="B1306" s="2" t="inlineStr">
        <is>
          <t>F elosztó, 2 utas</t>
        </is>
      </c>
      <c r="C1306" s="1" t="n">
        <v>419.0</v>
      </c>
      <c r="D1306" s="7" t="n">
        <f>HYPERLINK("https://www.somogyi.hu/product/f-eloszto-2-utas-ts-1910x-2186","https://www.somogyi.hu/product/f-eloszto-2-utas-ts-1910x-2186")</f>
        <v>0.0</v>
      </c>
      <c r="E1306" s="7" t="n">
        <f>HYPERLINK("https://www.somogyi.hu/data/img/product_main_images/small/02186.jpg","https://www.somogyi.hu/data/img/product_main_images/small/02186.jpg")</f>
        <v>0.0</v>
      </c>
      <c r="F1306" s="2" t="inlineStr">
        <is>
          <t>5998312724514</t>
        </is>
      </c>
      <c r="G1306" s="4" t="inlineStr">
        <is>
          <t xml:space="preserve"> • csatlakozók: "F" bemenet / 2 x "F" kimenet 
 • ház anyaga: fém 
 • frekvenciaátvitel: 5 - 900 MHz 
 • bliszterben: igen</t>
        </is>
      </c>
    </row>
    <row r="1307">
      <c r="A1307" s="3" t="inlineStr">
        <is>
          <t>FS 12X</t>
        </is>
      </c>
      <c r="B1307" s="2" t="inlineStr">
        <is>
          <t>1 db pipa koax dugó + 1 db pipa koax aljzat</t>
        </is>
      </c>
      <c r="C1307" s="1" t="n">
        <v>369.0</v>
      </c>
      <c r="D1307" s="7" t="n">
        <f>HYPERLINK("https://www.somogyi.hu/product/1-db-pipa-koax-dugo-1-db-pipa-koax-aljzat-fs-12x-2194","https://www.somogyi.hu/product/1-db-pipa-koax-dugo-1-db-pipa-koax-aljzat-fs-12x-2194")</f>
        <v>0.0</v>
      </c>
      <c r="E1307" s="7" t="n">
        <f>HYPERLINK("https://www.somogyi.hu/data/img/product_main_images/small/02194.jpg","https://www.somogyi.hu/data/img/product_main_images/small/02194.jpg")</f>
        <v>0.0</v>
      </c>
      <c r="F1307" s="2" t="inlineStr">
        <is>
          <t>5998312724590</t>
        </is>
      </c>
      <c r="G1307" s="4" t="inlineStr">
        <is>
          <t xml:space="preserve"> • csatlakozók: koax pipa dugó + koax pipa aljzat 
 • ház anyaga: műanyag 
 • bekötés: csavaros 
 • bliszterben: igen</t>
        </is>
      </c>
    </row>
    <row r="1308">
      <c r="A1308" s="3" t="inlineStr">
        <is>
          <t>FF 1/PRO</t>
        </is>
      </c>
      <c r="B1308" s="2" t="inlineStr">
        <is>
          <t>Home FF1/PRO F csatlakozódugó, fém, erősített, RG 6 kábelre tekerhető, egyenes kivitel</t>
        </is>
      </c>
      <c r="C1308" s="1" t="n">
        <v>139.0</v>
      </c>
      <c r="D1308" s="7" t="n">
        <f>HYPERLINK("https://www.somogyi.hu/product/home-ff1-pro-f-csatlakozodugo-fem-erositett-rg-6-kabelre-tekerheto-egyenes-kivitel-ff-1-pro-7434","https://www.somogyi.hu/product/home-ff1-pro-f-csatlakozodugo-fem-erositett-rg-6-kabelre-tekerheto-egyenes-kivitel-ff-1-pro-7434")</f>
        <v>0.0</v>
      </c>
      <c r="E1308" s="7" t="n">
        <f>HYPERLINK("https://www.somogyi.hu/data/img/product_main_images/small/07434.jpg","https://www.somogyi.hu/data/img/product_main_images/small/07434.jpg")</f>
        <v>0.0</v>
      </c>
      <c r="F1308" s="2" t="inlineStr">
        <is>
          <t>5998312764220</t>
        </is>
      </c>
      <c r="G1308" s="4" t="inlineStr">
        <is>
          <t>Keresse az igényeinek megfelelő koax csatlakozókat! Az FF 1/PRO magas minőségű fém alapanyagú F dugó az RG 6 kábelhez ajánlott. Válassza a minőségi termékeket és rendeljen webáruházunkból.</t>
        </is>
      </c>
    </row>
    <row r="1309">
      <c r="A1309" s="3" t="inlineStr">
        <is>
          <t>FF 19</t>
        </is>
      </c>
      <c r="B1309" s="2" t="inlineStr">
        <is>
          <t>Home FF 19 csatlakozó átalakító, koax aljzat-F aljzat, fém, csavarható, egyenes kivitel</t>
        </is>
      </c>
      <c r="C1309" s="1" t="n">
        <v>449.0</v>
      </c>
      <c r="D1309" s="7" t="n">
        <f>HYPERLINK("https://www.somogyi.hu/product/home-ff-19-csatlakozo-atalakito-koax-aljzat-f-aljzat-fem-csavarhato-egyenes-kivitel-ff-19-1984","https://www.somogyi.hu/product/home-ff-19-csatlakozo-atalakito-koax-aljzat-f-aljzat-fem-csavarhato-egyenes-kivitel-ff-19-1984")</f>
        <v>0.0</v>
      </c>
      <c r="E1309" s="7" t="n">
        <f>HYPERLINK("https://www.somogyi.hu/data/img/product_main_images/small/01984.jpg","https://www.somogyi.hu/data/img/product_main_images/small/01984.jpg")</f>
        <v>0.0</v>
      </c>
      <c r="F1309" s="2" t="inlineStr">
        <is>
          <t>5998312711828</t>
        </is>
      </c>
      <c r="G1309" s="4" t="inlineStr">
        <is>
          <t>Széles kínálatunkban garantáltan megtalálhatja az igényeinek megfelelő csatlakozókat és átalakítókat! Az FF 19 fém kialakítással rendelkező átalakító Koax aljzattal és F aljzattal. Válassza a minőségi termékeket és rendeljen webáruházunkból.</t>
        </is>
      </c>
    </row>
    <row r="1310">
      <c r="A1310" s="3" t="inlineStr">
        <is>
          <t>TSP 1911X</t>
        </is>
      </c>
      <c r="B1310" s="2" t="inlineStr">
        <is>
          <t>F elosztó, 3 utas, SAT</t>
        </is>
      </c>
      <c r="C1310" s="1" t="n">
        <v>1490.0</v>
      </c>
      <c r="D1310" s="7" t="n">
        <f>HYPERLINK("https://www.somogyi.hu/product/f-eloszto-3-utas-sat-tsp-1911x-5506","https://www.somogyi.hu/product/f-eloszto-3-utas-sat-tsp-1911x-5506")</f>
        <v>0.0</v>
      </c>
      <c r="E1310" s="7" t="n">
        <f>HYPERLINK("https://www.somogyi.hu/data/img/product_main_images/small/05506.jpg","https://www.somogyi.hu/data/img/product_main_images/small/05506.jpg")</f>
        <v>0.0</v>
      </c>
      <c r="F1310" s="2" t="inlineStr">
        <is>
          <t>5998312748695</t>
        </is>
      </c>
      <c r="G1310" s="4" t="inlineStr">
        <is>
          <t xml:space="preserve"> • csatlakozók: "F" bemenet / 3 x "F" kimenet 
 • ház anyaga: fém 
 • frekvenciaátvitel: 900 - 2400 MHz 
 • bliszterben: igen</t>
        </is>
      </c>
    </row>
    <row r="1311">
      <c r="A1311" s="3" t="inlineStr">
        <is>
          <t>TSP 1913</t>
        </is>
      </c>
      <c r="B1311" s="2" t="inlineStr">
        <is>
          <t>Home TSP 1913 F elosztó, 900-2400 MHz, 4 utas, 1 bemenet, 4 kimenet</t>
        </is>
      </c>
      <c r="C1311" s="1" t="n">
        <v>1490.0</v>
      </c>
      <c r="D1311" s="7" t="n">
        <f>HYPERLINK("https://www.somogyi.hu/product/home-tsp-1913-f-eloszto-900-2400-mhz-4-utas-1-bemenet-4-kimenet-tsp-1913-5140","https://www.somogyi.hu/product/home-tsp-1913-f-eloszto-900-2400-mhz-4-utas-1-bemenet-4-kimenet-tsp-1913-5140")</f>
        <v>0.0</v>
      </c>
      <c r="E1311" s="7" t="n">
        <f>HYPERLINK("https://www.somogyi.hu/data/img/product_main_images/small/05140.jpg","https://www.somogyi.hu/data/img/product_main_images/small/05140.jpg")</f>
        <v>0.0</v>
      </c>
      <c r="F1311" s="2" t="inlineStr">
        <is>
          <t>5998312745281</t>
        </is>
      </c>
      <c r="G1311" s="4" t="inlineStr">
        <is>
          <t>Keresse a megfelelő F elosztókat a kábeltévés, műholdvevős alkalmazásokhoz. A 4 utas TSP 1913 elosztó 1 db bemenettel és 4 db kimenettel rendelkezik. Válassza a minőségi termékeket és rendeljen webáruházunkból.</t>
        </is>
      </c>
    </row>
    <row r="1312">
      <c r="A1312" s="3" t="inlineStr">
        <is>
          <t>TSP 1911</t>
        </is>
      </c>
      <c r="B1312" s="2" t="inlineStr">
        <is>
          <t>Home TSP 1911 F elosztó, 900-2400 MHz, 3 utas, 1 bemenet, 3 kimenet</t>
        </is>
      </c>
      <c r="C1312" s="1" t="n">
        <v>1390.0</v>
      </c>
      <c r="D1312" s="7" t="n">
        <f>HYPERLINK("https://www.somogyi.hu/product/home-tsp-1911-f-eloszto-900-2400-mhz-3-utas-1-bemenet-3-kimenet-tsp-1911-5139","https://www.somogyi.hu/product/home-tsp-1911-f-eloszto-900-2400-mhz-3-utas-1-bemenet-3-kimenet-tsp-1911-5139")</f>
        <v>0.0</v>
      </c>
      <c r="E1312" s="7" t="n">
        <f>HYPERLINK("https://www.somogyi.hu/data/img/product_main_images/small/05139.jpg","https://www.somogyi.hu/data/img/product_main_images/small/05139.jpg")</f>
        <v>0.0</v>
      </c>
      <c r="F1312" s="2" t="inlineStr">
        <is>
          <t>5998312745274</t>
        </is>
      </c>
      <c r="G1312" s="4" t="inlineStr">
        <is>
          <t>Keresse a megfelelő F elosztókat a kábeltévés, műholdvevős alkalmazásokhoz. A 3 utas TSP 1911 elosztó 1 db bemenettel és 3 db kimenettel rendelkezik. Válassza a minőségi termékeket és rendeljen webáruházunkból.</t>
        </is>
      </c>
    </row>
    <row r="1313">
      <c r="A1313" s="3" t="inlineStr">
        <is>
          <t>TSP 1910</t>
        </is>
      </c>
      <c r="B1313" s="2" t="inlineStr">
        <is>
          <t>Home TSP 1910 F elosztó, 900-2400 MHz, 2 utas, 1 bemenet, 2 kimenet</t>
        </is>
      </c>
      <c r="C1313" s="1" t="n">
        <v>1190.0</v>
      </c>
      <c r="D1313" s="7" t="n">
        <f>HYPERLINK("https://www.somogyi.hu/product/home-tsp-1910-f-eloszto-900-2400-mhz-2-utas-1-bemenet-2-kimenet-tsp-1910-5138","https://www.somogyi.hu/product/home-tsp-1910-f-eloszto-900-2400-mhz-2-utas-1-bemenet-2-kimenet-tsp-1910-5138")</f>
        <v>0.0</v>
      </c>
      <c r="E1313" s="7" t="n">
        <f>HYPERLINK("https://www.somogyi.hu/data/img/product_main_images/small/05138.jpg","https://www.somogyi.hu/data/img/product_main_images/small/05138.jpg")</f>
        <v>0.0</v>
      </c>
      <c r="F1313" s="2" t="inlineStr">
        <is>
          <t>5998312745267</t>
        </is>
      </c>
      <c r="G1313" s="4" t="inlineStr">
        <is>
          <t>Keresse a megfelelő F elosztókat a kábeltévés, műholdvevős alkalmazásokhoz. A 2 utas TSP 1910 elosztó 2 db bemenettel és 4 db kimenettel rendelkezik. Válassza a minőségi termékeket és rendeljen webáruházunkból.</t>
        </is>
      </c>
    </row>
    <row r="1314">
      <c r="A1314" s="3" t="inlineStr">
        <is>
          <t>FS 1</t>
        </is>
      </c>
      <c r="B1314" s="2" t="inlineStr">
        <is>
          <t>Home FS 1 koax dugó, fém + műanyag, csavarozható, pipa kivitel</t>
        </is>
      </c>
      <c r="C1314" s="1" t="n">
        <v>129.0</v>
      </c>
      <c r="D1314" s="7" t="n">
        <f>HYPERLINK("https://www.somogyi.hu/product/home-fs-1-koax-dugo-fem-muanyag-csavarozhato-pipa-kivitel-fs-1-1771","https://www.somogyi.hu/product/home-fs-1-koax-dugo-fem-muanyag-csavarozhato-pipa-kivitel-fs-1-1771")</f>
        <v>0.0</v>
      </c>
      <c r="E1314" s="7" t="n">
        <f>HYPERLINK("https://www.somogyi.hu/data/img/product_main_images/small/01771.jpg","https://www.somogyi.hu/data/img/product_main_images/small/01771.jpg")</f>
        <v>0.0</v>
      </c>
      <c r="F1314" s="2" t="inlineStr">
        <is>
          <t>5998312702338</t>
        </is>
      </c>
      <c r="G1314" s="4" t="inlineStr">
        <is>
          <t>Megbízható kialakítású koax csatlakozót keres? Ez esetben tekintse meg csatlakozóink széles kínálatát! Az FS 1 pipa alakú lengő koax dugó. A termék előnye, hogy csavarazható kivitelben kapható. Válassza a minőségi termékeket és rendeljen webáruházunkból.</t>
        </is>
      </c>
    </row>
    <row r="1315">
      <c r="A1315" s="3" t="inlineStr">
        <is>
          <t>FS 14</t>
        </is>
      </c>
      <c r="B1315" s="2" t="inlineStr">
        <is>
          <t>Home FS 14 koax dugó, fém, csavarozható, egyenes kivitel</t>
        </is>
      </c>
      <c r="C1315" s="1" t="n">
        <v>369.0</v>
      </c>
      <c r="D1315" s="7" t="n">
        <f>HYPERLINK("https://www.somogyi.hu/product/home-fs-14-koax-dugo-fem-csavarozhato-egyenes-kivitel-fs-14-1772","https://www.somogyi.hu/product/home-fs-14-koax-dugo-fem-csavarozhato-egyenes-kivitel-fs-14-1772")</f>
        <v>0.0</v>
      </c>
      <c r="E1315" s="7" t="n">
        <f>HYPERLINK("https://www.somogyi.hu/data/img/product_main_images/small/01772.jpg","https://www.somogyi.hu/data/img/product_main_images/small/01772.jpg")</f>
        <v>0.0</v>
      </c>
      <c r="F1315" s="2" t="inlineStr">
        <is>
          <t>5998312702345</t>
        </is>
      </c>
      <c r="G1315" s="4" t="inlineStr">
        <is>
          <t>Megbízható kialakítású koax csatlakozót keres? Ez esetben tekintse meg csatlakozóink széles kínálatát! Az FS 14 masszív fém alapanyagú egyenes lengő koax dugó. A termék előnye, hogy csavarazható kivitelben kapható. Válassza a minőségi termékeket és rendeljen webáruházunkból.</t>
        </is>
      </c>
    </row>
    <row r="1316">
      <c r="A1316" s="3" t="inlineStr">
        <is>
          <t>FS 28X</t>
        </is>
      </c>
      <c r="B1316" s="2" t="inlineStr">
        <is>
          <t>Koax elosztó, 1 dugó - 2 aljzat, fém</t>
        </is>
      </c>
      <c r="C1316" s="1" t="n">
        <v>809.0</v>
      </c>
      <c r="D1316" s="7" t="n">
        <f>HYPERLINK("https://www.somogyi.hu/product/koax-eloszto-1-dugo-2-aljzat-fem-fs-28x-2205","https://www.somogyi.hu/product/koax-eloszto-1-dugo-2-aljzat-fem-fs-28x-2205")</f>
        <v>0.0</v>
      </c>
      <c r="E1316" s="7" t="n">
        <f>HYPERLINK("https://www.somogyi.hu/data/img/product_main_images/small/02205.jpg","https://www.somogyi.hu/data/img/product_main_images/small/02205.jpg")</f>
        <v>0.0</v>
      </c>
      <c r="F1316" s="2" t="inlineStr">
        <is>
          <t>5998312724705</t>
        </is>
      </c>
      <c r="G1316" s="4" t="inlineStr">
        <is>
          <t xml:space="preserve"> • csatlakozók: koax dugó / 2 x koax aljzat 
 • ház anyaga: fém 
 • bliszterben: igen</t>
        </is>
      </c>
    </row>
    <row r="1317">
      <c r="A1317" s="3" t="inlineStr">
        <is>
          <t>TS 1913</t>
        </is>
      </c>
      <c r="B1317" s="2" t="inlineStr">
        <is>
          <t>F elosztó, 4 utas</t>
        </is>
      </c>
      <c r="C1317" s="1" t="n">
        <v>549.0</v>
      </c>
      <c r="D1317" s="7" t="n">
        <f>HYPERLINK("https://www.somogyi.hu/product/f-eloszto-4-utas-ts-1913-1936","https://www.somogyi.hu/product/f-eloszto-4-utas-ts-1913-1936")</f>
        <v>0.0</v>
      </c>
      <c r="E1317" s="7" t="n">
        <f>HYPERLINK("https://www.somogyi.hu/data/img/product_main_images/small/01936.jpg","https://www.somogyi.hu/data/img/product_main_images/small/01936.jpg")</f>
        <v>0.0</v>
      </c>
      <c r="F1317" s="2" t="inlineStr">
        <is>
          <t>5998312705391</t>
        </is>
      </c>
      <c r="G1317" s="4" t="inlineStr">
        <is>
          <t>Keresse a megfelelő F elosztókat a kábeltévés, műholdvevős alkalmazásokhoz. A 4 utas TS 1913 elosztó 1 db bemenettel és 4 db kimenettel rendelkezik. Válassza a minőségi termékeket és rendeljen webáruházunkból.</t>
        </is>
      </c>
    </row>
    <row r="1318">
      <c r="A1318" s="3" t="inlineStr">
        <is>
          <t>FST 2X</t>
        </is>
      </c>
      <c r="B1318" s="2" t="inlineStr">
        <is>
          <t>Koax aljzat, fém, kábelre tekerhető</t>
        </is>
      </c>
      <c r="C1318" s="1" t="n">
        <v>599.0</v>
      </c>
      <c r="D1318" s="7" t="n">
        <f>HYPERLINK("https://www.somogyi.hu/product/koax-aljzat-fem-kabelre-tekerheto-fst-2x-2785","https://www.somogyi.hu/product/koax-aljzat-fem-kabelre-tekerheto-fst-2x-2785")</f>
        <v>0.0</v>
      </c>
      <c r="E1318" s="7" t="n">
        <f>HYPERLINK("https://www.somogyi.hu/data/img/product_main_images/small/02785.jpg","https://www.somogyi.hu/data/img/product_main_images/small/02785.jpg")</f>
        <v>0.0</v>
      </c>
      <c r="F1318" s="2" t="inlineStr">
        <is>
          <t>5998312731093</t>
        </is>
      </c>
      <c r="G1318" s="4" t="inlineStr">
        <is>
          <t xml:space="preserve"> • csatlakozók: koax aljzat 
 • ház anyaga: fém 
 • bekötés: tekerhető (RG 6-ra) 
 • bliszterben: igen</t>
        </is>
      </c>
    </row>
    <row r="1319">
      <c r="A1319" s="3" t="inlineStr">
        <is>
          <t>FS 15</t>
        </is>
      </c>
      <c r="B1319" s="2" t="inlineStr">
        <is>
          <t>Home FS 15 koax aljzat, fém, csavarozható, egyenes kivitel</t>
        </is>
      </c>
      <c r="C1319" s="1" t="n">
        <v>369.0</v>
      </c>
      <c r="D1319" s="7" t="n">
        <f>HYPERLINK("https://www.somogyi.hu/product/home-fs-15-koax-aljzat-fem-csavarozhato-egyenes-kivitel-fs-15-1773","https://www.somogyi.hu/product/home-fs-15-koax-aljzat-fem-csavarozhato-egyenes-kivitel-fs-15-1773")</f>
        <v>0.0</v>
      </c>
      <c r="E1319" s="7" t="n">
        <f>HYPERLINK("https://www.somogyi.hu/data/img/product_main_images/small/01773.jpg","https://www.somogyi.hu/data/img/product_main_images/small/01773.jpg")</f>
        <v>0.0</v>
      </c>
      <c r="F1319" s="2" t="inlineStr">
        <is>
          <t>5998312702352</t>
        </is>
      </c>
      <c r="G1319" s="4" t="inlineStr">
        <is>
          <t>Megbízható kialakítású koax csatlakozót keres? Ez esetben tekintse meg csatlakozóink széles kínálatát! Az FS 15 masszív fém alapanyagú egyenes lengő koax aljzat. A termék előnye, hogy csavarazható kivitelben kapható. Válassza a minőségi termékeket és rendeljen webáruházunkból.</t>
        </is>
      </c>
    </row>
    <row r="1320">
      <c r="A1320" s="3" t="inlineStr">
        <is>
          <t>FS 19</t>
        </is>
      </c>
      <c r="B1320" s="2" t="inlineStr">
        <is>
          <t>Home FS 19 koax aljzat, fém + műanyag, erősített, csavarozható, egyenes kivitel</t>
        </is>
      </c>
      <c r="C1320" s="1" t="n">
        <v>129.0</v>
      </c>
      <c r="D1320" s="7" t="n">
        <f>HYPERLINK("https://www.somogyi.hu/product/home-fs-19-koax-aljzat-fem-muanyag-erositett-csavarozhato-egyenes-kivitel-fs-19-1774","https://www.somogyi.hu/product/home-fs-19-koax-aljzat-fem-muanyag-erositett-csavarozhato-egyenes-kivitel-fs-19-1774")</f>
        <v>0.0</v>
      </c>
      <c r="E1320" s="7" t="n">
        <f>HYPERLINK("https://www.somogyi.hu/data/img/product_main_images/small/01774.jpg","https://www.somogyi.hu/data/img/product_main_images/small/01774.jpg")</f>
        <v>0.0</v>
      </c>
      <c r="F1320" s="2" t="inlineStr">
        <is>
          <t>5998312702369</t>
        </is>
      </c>
      <c r="G1320" s="4" t="inlineStr">
        <is>
          <t>Megbízható kialakítású koax csatlakozót keres? Ez esetben tekintse meg csatlakozóink széles kínálatát! Az FS 19 erősített egyenes alakú lengő koax aljzat. A termék előnye, hogy csavarazható kivitelben kapható. Válassza a minőségi termékeket és rendeljen webáruházunkból.</t>
        </is>
      </c>
    </row>
    <row r="1321">
      <c r="A1321" s="3" t="inlineStr">
        <is>
          <t>FS 2</t>
        </is>
      </c>
      <c r="B1321" s="2" t="inlineStr">
        <is>
          <t>Home FS 2 koax aljzat, fém + műanyag, csavarozható, pipa kivitel</t>
        </is>
      </c>
      <c r="C1321" s="1" t="n">
        <v>129.0</v>
      </c>
      <c r="D1321" s="7" t="n">
        <f>HYPERLINK("https://www.somogyi.hu/product/home-fs-2-koax-aljzat-fem-muanyag-csavarozhato-pipa-kivitel-fs-2-1776","https://www.somogyi.hu/product/home-fs-2-koax-aljzat-fem-muanyag-csavarozhato-pipa-kivitel-fs-2-1776")</f>
        <v>0.0</v>
      </c>
      <c r="E1321" s="7" t="n">
        <f>HYPERLINK("https://www.somogyi.hu/data/img/product_main_images/small/01776.jpg","https://www.somogyi.hu/data/img/product_main_images/small/01776.jpg")</f>
        <v>0.0</v>
      </c>
      <c r="F1321" s="2" t="inlineStr">
        <is>
          <t>5998312702383</t>
        </is>
      </c>
      <c r="G1321" s="4" t="inlineStr">
        <is>
          <t>Megbízható kialakítású koax csatlakozót keres? Ez esetben tekintse meg csatlakozóink széles kínálatát! Az FS 2 pipa alakú egyenes lengő koax aljzat. A termék előnye, hogy csavarazható kivitelben kapható. Válassza a minőségi termékeket és rendeljen webáruházunkból.</t>
        </is>
      </c>
    </row>
    <row r="1322">
      <c r="A1322" s="3" t="inlineStr">
        <is>
          <t>FS 27</t>
        </is>
      </c>
      <c r="B1322" s="2" t="inlineStr">
        <is>
          <t>Home FS 27 koax elosztó, 1 aljzat, 2 dugó, "T" alak</t>
        </is>
      </c>
      <c r="C1322" s="1" t="n">
        <v>699.0</v>
      </c>
      <c r="D1322" s="7" t="n">
        <f>HYPERLINK("https://www.somogyi.hu/product/home-fs-27-koax-eloszto-1-aljzat-2-dugo-t-alak-fs-27-1779","https://www.somogyi.hu/product/home-fs-27-koax-eloszto-1-aljzat-2-dugo-t-alak-fs-27-1779")</f>
        <v>0.0</v>
      </c>
      <c r="E1322" s="7" t="n">
        <f>HYPERLINK("https://www.somogyi.hu/data/img/product_main_images/small/01779.jpg","https://www.somogyi.hu/data/img/product_main_images/small/01779.jpg")</f>
        <v>0.0</v>
      </c>
      <c r="F1322" s="2" t="inlineStr">
        <is>
          <t>5998312702413</t>
        </is>
      </c>
      <c r="G1322" s="4" t="inlineStr">
        <is>
          <t>Megbízható kialakítású koax csatlakozót keres? Ez esetben tekintse meg csatlakozóink széles kínálatát! Az FS 27 „T” alakú fém koax elosztó 2 db dugóból és 1 db aljzattal rendelkezik. Válassza a minőségi termékeket és rendeljen webáruházunkból.</t>
        </is>
      </c>
    </row>
    <row r="1323">
      <c r="A1323" s="3" t="inlineStr">
        <is>
          <t>FS 27X</t>
        </is>
      </c>
      <c r="B1323" s="2" t="inlineStr">
        <is>
          <t>Koax elosztó, 1 aljzat - 2 dugó, fém</t>
        </is>
      </c>
      <c r="C1323" s="1" t="n">
        <v>809.0</v>
      </c>
      <c r="D1323" s="7" t="n">
        <f>HYPERLINK("https://www.somogyi.hu/product/koax-eloszto-1-aljzat-2-dugo-fem-fs-27x-2204","https://www.somogyi.hu/product/koax-eloszto-1-aljzat-2-dugo-fem-fs-27x-2204")</f>
        <v>0.0</v>
      </c>
      <c r="E1323" s="7" t="n">
        <f>HYPERLINK("https://www.somogyi.hu/data/img/product_main_images/small/02204.jpg","https://www.somogyi.hu/data/img/product_main_images/small/02204.jpg")</f>
        <v>0.0</v>
      </c>
      <c r="F1323" s="2" t="inlineStr">
        <is>
          <t>5998312724699</t>
        </is>
      </c>
      <c r="G1323" s="4" t="inlineStr">
        <is>
          <t xml:space="preserve"> • csatlakozók: 2 x koax dugó / koax aljzat 
 • ház anyaga: fém 
 • bliszterben: igen</t>
        </is>
      </c>
    </row>
    <row r="1324">
      <c r="A1324" s="3" t="inlineStr">
        <is>
          <t>FS 2X</t>
        </is>
      </c>
      <c r="B1324" s="2" t="inlineStr">
        <is>
          <t>Pipa koax aljzat</t>
        </is>
      </c>
      <c r="C1324" s="1" t="n">
        <v>369.0</v>
      </c>
      <c r="D1324" s="7" t="n">
        <f>HYPERLINK("https://www.somogyi.hu/product/pipa-koax-aljzat-fs-2x-2439","https://www.somogyi.hu/product/pipa-koax-aljzat-fs-2x-2439")</f>
        <v>0.0</v>
      </c>
      <c r="E1324" s="7" t="n">
        <f>HYPERLINK("https://www.somogyi.hu/data/img/product_main_images/small/02439.jpg","https://www.somogyi.hu/data/img/product_main_images/small/02439.jpg")</f>
        <v>0.0</v>
      </c>
      <c r="F1324" s="2" t="inlineStr">
        <is>
          <t>5998312727485</t>
        </is>
      </c>
      <c r="G1324" s="4" t="inlineStr">
        <is>
          <t xml:space="preserve"> • csatlakozók: koax pipa aljzat 
 • ház anyaga: műanyag 
 • bekötés: csavaros 
 • bliszterben: igen</t>
        </is>
      </c>
    </row>
    <row r="1325">
      <c r="A1325" s="3" t="inlineStr">
        <is>
          <t>TS 1911</t>
        </is>
      </c>
      <c r="B1325" s="2" t="inlineStr">
        <is>
          <t>F elosztó, 3 utas</t>
        </is>
      </c>
      <c r="C1325" s="1" t="n">
        <v>279.0</v>
      </c>
      <c r="D1325" s="7" t="n">
        <f>HYPERLINK("https://www.somogyi.hu/product/f-eloszto-3-utas-ts-1911-1935","https://www.somogyi.hu/product/f-eloszto-3-utas-ts-1911-1935")</f>
        <v>0.0</v>
      </c>
      <c r="E1325" s="7" t="n">
        <f>HYPERLINK("https://www.somogyi.hu/data/img/product_main_images/small/01935.jpg","https://www.somogyi.hu/data/img/product_main_images/small/01935.jpg")</f>
        <v>0.0</v>
      </c>
      <c r="F1325" s="2" t="inlineStr">
        <is>
          <t>5998312705384</t>
        </is>
      </c>
      <c r="G1325" s="4" t="inlineStr">
        <is>
          <t>Keresse a megfelelő F elosztókat a kábeltévés, műholdvevős alkalmazásokhoz. A 3 utas TS 1911 elosztó 1 db bemenettel és 3 db kimenettel rendelkezik. Válassza a minőségi termékeket és rendeljen webáruházunkból.</t>
        </is>
      </c>
    </row>
    <row r="1326">
      <c r="A1326" s="3" t="inlineStr">
        <is>
          <t>TSX 1913</t>
        </is>
      </c>
      <c r="B1326" s="2" t="inlineStr">
        <is>
          <t>Home TSX 1913 F elosztó, HQ professzionális minőség, 75 Ohm, IP44, cink-ötvözet konstrukció, 5-2400 MHz, 4 utas, 1 bemenet, 4 kimenet</t>
        </is>
      </c>
      <c r="C1326" s="1" t="n">
        <v>2490.0</v>
      </c>
      <c r="D1326" s="7" t="n">
        <f>HYPERLINK("https://www.somogyi.hu/product/home-tsx-1913-f-eloszto-hq-professzionalis-minoseg-75-ohm-ip44-cink-otvozet-konstrukcio-5-2400-mhz-4-utas-1-bemenet-4-kimenet-tsx-1913-17977","https://www.somogyi.hu/product/home-tsx-1913-f-eloszto-hq-professzionalis-minoseg-75-ohm-ip44-cink-otvozet-konstrukcio-5-2400-mhz-4-utas-1-bemenet-4-kimenet-tsx-1913-17977")</f>
        <v>0.0</v>
      </c>
      <c r="E1326" s="7" t="n">
        <f>HYPERLINK("https://www.somogyi.hu/data/img/product_main_images/small/17977.jpg","https://www.somogyi.hu/data/img/product_main_images/small/17977.jpg")</f>
        <v>0.0</v>
      </c>
      <c r="F1326" s="2" t="inlineStr">
        <is>
          <t>5999084959999</t>
        </is>
      </c>
      <c r="G1326" s="4" t="inlineStr">
        <is>
          <t xml:space="preserve"> • csatlakozók: "F" bemenet / 4 x "F" kimenet 
 • ház anyaga: fém 
 • frekvenciaátvitel: 5-2400 MHz</t>
        </is>
      </c>
    </row>
    <row r="1327">
      <c r="A1327" s="3" t="inlineStr">
        <is>
          <t>TSX 1911</t>
        </is>
      </c>
      <c r="B1327" s="2" t="inlineStr">
        <is>
          <t>Home TSX 1911 F elosztó, HQ professzionális minőség, 75 Ohm, IP44, cink-ötvözet konstrukció, 5-2400 MHz, 3 utas, 1 bemenet, 3 kimenet</t>
        </is>
      </c>
      <c r="C1327" s="1" t="n">
        <v>2290.0</v>
      </c>
      <c r="D1327" s="7" t="n">
        <f>HYPERLINK("https://www.somogyi.hu/product/home-tsx-1911-f-eloszto-hq-professzionalis-minoseg-75-ohm-ip44-cink-otvozet-konstrukcio-5-2400-mhz-3-utas-1-bemenet-3-kimenet-tsx-1911-17976","https://www.somogyi.hu/product/home-tsx-1911-f-eloszto-hq-professzionalis-minoseg-75-ohm-ip44-cink-otvozet-konstrukcio-5-2400-mhz-3-utas-1-bemenet-3-kimenet-tsx-1911-17976")</f>
        <v>0.0</v>
      </c>
      <c r="E1327" s="7" t="n">
        <f>HYPERLINK("https://www.somogyi.hu/data/img/product_main_images/small/17976.jpg","https://www.somogyi.hu/data/img/product_main_images/small/17976.jpg")</f>
        <v>0.0</v>
      </c>
      <c r="F1327" s="2" t="inlineStr">
        <is>
          <t>5999084959982</t>
        </is>
      </c>
      <c r="G1327" s="4" t="inlineStr">
        <is>
          <t xml:space="preserve"> • csatlakozók: "F" bemenet / 3 x "F" kimenet 
 • ház anyaga: fém 
 • frekvenciaátvitel: 5-2400 MHz</t>
        </is>
      </c>
    </row>
    <row r="1328">
      <c r="A1328" s="3" t="inlineStr">
        <is>
          <t>TS 1910</t>
        </is>
      </c>
      <c r="B1328" s="2" t="inlineStr">
        <is>
          <t>F elosztó, 2 utas</t>
        </is>
      </c>
      <c r="C1328" s="1" t="n">
        <v>299.0</v>
      </c>
      <c r="D1328" s="7" t="n">
        <f>HYPERLINK("https://www.somogyi.hu/product/f-eloszto-2-utas-ts-1910-1934","https://www.somogyi.hu/product/f-eloszto-2-utas-ts-1910-1934")</f>
        <v>0.0</v>
      </c>
      <c r="E1328" s="7" t="n">
        <f>HYPERLINK("https://www.somogyi.hu/data/img/product_main_images/small/01934.jpg","https://www.somogyi.hu/data/img/product_main_images/small/01934.jpg")</f>
        <v>0.0</v>
      </c>
      <c r="F1328" s="2" t="inlineStr">
        <is>
          <t>5998312705377</t>
        </is>
      </c>
      <c r="G1328" s="4" t="inlineStr">
        <is>
          <t>Keresse a megfelelő F elosztókat a kábeltévés, műholdvevős alkalmazásokhoz. A 2 utas TS 1910 elosztó 1 db bemenettel és 2 db kimenettel rendelkezik. Válassza a minőségi termékeket és rendeljen webáruházunkból.</t>
        </is>
      </c>
    </row>
    <row r="1329">
      <c r="A1329" s="3" t="inlineStr">
        <is>
          <t>TSX 1910</t>
        </is>
      </c>
      <c r="B1329" s="2" t="inlineStr">
        <is>
          <t>Home TSX 1910 F elosztó, HQ professzionális minőség, 75 Ohm, IP44, cink-ötvözet konstrukció, 5-2400 MHz, 2 utas, 1 bemenet, 2 kimenet</t>
        </is>
      </c>
      <c r="C1329" s="1" t="n">
        <v>1750.0</v>
      </c>
      <c r="D1329" s="7" t="n">
        <f>HYPERLINK("https://www.somogyi.hu/product/home-tsx-1910-f-eloszto-hq-professzionalis-minoseg-75-ohm-ip44-cink-otvozet-konstrukcio-5-2400-mhz-2-utas-1-bemenet-2-kimenet-tsx-1910-17975","https://www.somogyi.hu/product/home-tsx-1910-f-eloszto-hq-professzionalis-minoseg-75-ohm-ip44-cink-otvozet-konstrukcio-5-2400-mhz-2-utas-1-bemenet-2-kimenet-tsx-1910-17975")</f>
        <v>0.0</v>
      </c>
      <c r="E1329" s="7" t="n">
        <f>HYPERLINK("https://www.somogyi.hu/data/img/product_main_images/small/17975.jpg","https://www.somogyi.hu/data/img/product_main_images/small/17975.jpg")</f>
        <v>0.0</v>
      </c>
      <c r="F1329" s="2" t="inlineStr">
        <is>
          <t>5999084959975</t>
        </is>
      </c>
      <c r="G1329" s="4" t="inlineStr">
        <is>
          <t xml:space="preserve"> • csatlakozók: "F" bemenet / 2 x "F" kimenet 
 • ház anyaga: fém 
 • frekvenciaátvitel: 5-2400 MHz</t>
        </is>
      </c>
    </row>
    <row r="1330">
      <c r="A1330" s="3" t="inlineStr">
        <is>
          <t>FF 18P</t>
        </is>
      </c>
      <c r="B1330" s="2" t="inlineStr">
        <is>
          <t>Home FF 18P csatlakozó átalakító, koax dugó-F aljzat, fém, csavarható, pipa kivitel</t>
        </is>
      </c>
      <c r="C1330" s="1" t="n">
        <v>559.0</v>
      </c>
      <c r="D1330" s="7" t="n">
        <f>HYPERLINK("https://www.somogyi.hu/product/home-ff-18p-csatlakozo-atalakito-koax-dugo-f-aljzat-fem-csavarhato-pipa-kivitel-ff-18p-17974","https://www.somogyi.hu/product/home-ff-18p-csatlakozo-atalakito-koax-dugo-f-aljzat-fem-csavarhato-pipa-kivitel-ff-18p-17974")</f>
        <v>0.0</v>
      </c>
      <c r="E1330" s="7" t="n">
        <f>HYPERLINK("https://www.somogyi.hu/data/img/product_main_images/small/17974.jpg","https://www.somogyi.hu/data/img/product_main_images/small/17974.jpg")</f>
        <v>0.0</v>
      </c>
      <c r="F1330" s="2" t="inlineStr">
        <is>
          <t>5999084959968</t>
        </is>
      </c>
      <c r="G1330" s="4" t="inlineStr">
        <is>
          <t xml:space="preserve"> • csatlakozók: koax dugó / F aljzat 
 • ház anyaga: fém</t>
        </is>
      </c>
    </row>
    <row r="1331">
      <c r="A1331" s="3" t="inlineStr">
        <is>
          <t>FF 113X</t>
        </is>
      </c>
      <c r="B1331" s="2" t="inlineStr">
        <is>
          <t>2 db F- dugó + 1 db F- toldó</t>
        </is>
      </c>
      <c r="C1331" s="1" t="n">
        <v>339.0</v>
      </c>
      <c r="D1331" s="7" t="n">
        <f>HYPERLINK("https://www.somogyi.hu/product/2-db-f-dugo-1-db-f-toldo-ff-113x-2437","https://www.somogyi.hu/product/2-db-f-dugo-1-db-f-toldo-ff-113x-2437")</f>
        <v>0.0</v>
      </c>
      <c r="E1331" s="7" t="n">
        <f>HYPERLINK("https://www.somogyi.hu/data/img/product_main_images/small/02437.jpg","https://www.somogyi.hu/data/img/product_main_images/small/02437.jpg")</f>
        <v>0.0</v>
      </c>
      <c r="F1331" s="2" t="inlineStr">
        <is>
          <t>5998312727461</t>
        </is>
      </c>
      <c r="G1331" s="4" t="inlineStr">
        <is>
          <t xml:space="preserve"> • csatlakozók: 2 x F dugó + F toldó (aljzat) 
 • ház anyaga: fém 
 • bekötés: tekerhető (RG 6-ra) 
 • bliszterben: igen</t>
        </is>
      </c>
    </row>
    <row r="1332">
      <c r="A1332" s="3" t="inlineStr">
        <is>
          <t>FS 18</t>
        </is>
      </c>
      <c r="B1332" s="2" t="inlineStr">
        <is>
          <t>Home FS 18 koax dugó, fém + műanyag, erősített, csavarozható, egyenes kivitel</t>
        </is>
      </c>
      <c r="C1332" s="1" t="n">
        <v>129.0</v>
      </c>
      <c r="D1332" s="7" t="n">
        <f>HYPERLINK("https://www.somogyi.hu/product/home-fs-18-koax-dugo-fem-muanyag-erositett-csavarozhato-egyenes-kivitel-fs-18-1990","https://www.somogyi.hu/product/home-fs-18-koax-dugo-fem-muanyag-erositett-csavarozhato-egyenes-kivitel-fs-18-1990")</f>
        <v>0.0</v>
      </c>
      <c r="E1332" s="7" t="n">
        <f>HYPERLINK("https://www.somogyi.hu/data/img/product_main_images/small/01990.jpg","https://www.somogyi.hu/data/img/product_main_images/small/01990.jpg")</f>
        <v>0.0</v>
      </c>
      <c r="F1332" s="2" t="inlineStr">
        <is>
          <t>5998312712351</t>
        </is>
      </c>
      <c r="G1332" s="4" t="inlineStr">
        <is>
          <t>Megbízható kialakítású koax csatlakozót keres? Ez esetben tekintse meg csatlakozóink széles kínálatát! Az FS 18 erősített egyenes alakú lengő koax dugó. A termék előnye, hogy csavarozható kivitelben kapható. Válassza a minőségi termékeket és rendeljen webáruházunkból.</t>
        </is>
      </c>
    </row>
    <row r="1333">
      <c r="A1333" s="3" t="inlineStr">
        <is>
          <t>FF 21</t>
        </is>
      </c>
      <c r="B1333" s="2" t="inlineStr">
        <is>
          <t>Home FF21 F csatlakozódugó, fém, KH 3 kábelre tekerhető, egyenes kivitel</t>
        </is>
      </c>
      <c r="C1333" s="1" t="n">
        <v>159.0</v>
      </c>
      <c r="D1333" s="7" t="n">
        <f>HYPERLINK("https://www.somogyi.hu/product/home-ff21-f-csatlakozodugo-fem-kh-3-kabelre-tekerheto-egyenes-kivitel-ff-21-4844","https://www.somogyi.hu/product/home-ff21-f-csatlakozodugo-fem-kh-3-kabelre-tekerheto-egyenes-kivitel-ff-21-4844")</f>
        <v>0.0</v>
      </c>
      <c r="E1333" s="7" t="n">
        <f>HYPERLINK("https://www.somogyi.hu/data/img/product_main_images/small/04844.jpg","https://www.somogyi.hu/data/img/product_main_images/small/04844.jpg")</f>
        <v>0.0</v>
      </c>
      <c r="F1333" s="2" t="inlineStr">
        <is>
          <t>5998312742822</t>
        </is>
      </c>
      <c r="G1333" s="4" t="inlineStr">
        <is>
          <t>Keresse az igényeinek megfelelő koax csatlakozókat! Az FF 21 fém alapanyagú F dugó a KH 3 kábelhez ajánlott. Válassza a minőségi termékeket és rendeljen webáruházunkból.</t>
        </is>
      </c>
    </row>
    <row r="1334">
      <c r="A1334" s="3" t="inlineStr">
        <is>
          <t>FS 15X</t>
        </is>
      </c>
      <c r="B1334" s="2" t="inlineStr">
        <is>
          <t>Koax aljzat, fém</t>
        </is>
      </c>
      <c r="C1334" s="1" t="n">
        <v>479.0</v>
      </c>
      <c r="D1334" s="7" t="n">
        <f>HYPERLINK("https://www.somogyi.hu/product/koax-aljzat-fem-fs-15x-2196","https://www.somogyi.hu/product/koax-aljzat-fem-fs-15x-2196")</f>
        <v>0.0</v>
      </c>
      <c r="E1334" s="7" t="n">
        <f>HYPERLINK("https://www.somogyi.hu/data/img/product_main_images/small/02196.jpg","https://www.somogyi.hu/data/img/product_main_images/small/02196.jpg")</f>
        <v>0.0</v>
      </c>
      <c r="F1334" s="2" t="inlineStr">
        <is>
          <t>5998312724613</t>
        </is>
      </c>
      <c r="G1334" s="4" t="inlineStr">
        <is>
          <t xml:space="preserve"> • csatlakozók: koax aljzat 
 • ház anyaga: fém 
 • bekötés: csavaros 
 • bliszterben: igen</t>
        </is>
      </c>
    </row>
    <row r="1335">
      <c r="A1335" s="3" t="inlineStr">
        <is>
          <t>FF 1</t>
        </is>
      </c>
      <c r="B1335" s="2" t="inlineStr">
        <is>
          <t>Home FF1 F csatlakozódugó, fém, RG 6 kábelre tekerhető, egyenes kivitel</t>
        </is>
      </c>
      <c r="C1335" s="1" t="n">
        <v>79.0</v>
      </c>
      <c r="D1335" s="7" t="n">
        <f>HYPERLINK("https://www.somogyi.hu/product/home-ff1-f-csatlakozodugo-fem-rg-6-kabelre-tekerheto-egyenes-kivitel-ff-1-1980","https://www.somogyi.hu/product/home-ff1-f-csatlakozodugo-fem-rg-6-kabelre-tekerheto-egyenes-kivitel-ff-1-1980")</f>
        <v>0.0</v>
      </c>
      <c r="E1335" s="7" t="n">
        <f>HYPERLINK("https://www.somogyi.hu/data/img/product_main_images/small/01980.jpg","https://www.somogyi.hu/data/img/product_main_images/small/01980.jpg")</f>
        <v>0.0</v>
      </c>
      <c r="F1335" s="2" t="inlineStr">
        <is>
          <t>5998312711774</t>
        </is>
      </c>
      <c r="G1335" s="4" t="inlineStr">
        <is>
          <t>Keresse az igényeinek megfelelő koax csatlakozókat! Az FF 1 fém alapanyagú F dugó az RG 6 kábelhez ajánlott. Válassza a minőségi termékeket és rendeljen webáruházunkból.</t>
        </is>
      </c>
    </row>
    <row r="1336">
      <c r="A1336" s="3" t="inlineStr">
        <is>
          <t>TSP 1913X</t>
        </is>
      </c>
      <c r="B1336" s="2" t="inlineStr">
        <is>
          <t>F elosztó, 4 utas, SAT</t>
        </is>
      </c>
      <c r="C1336" s="1" t="n">
        <v>1690.0</v>
      </c>
      <c r="D1336" s="7" t="n">
        <f>HYPERLINK("https://www.somogyi.hu/product/f-eloszto-4-utas-sat-tsp-1913x-5507","https://www.somogyi.hu/product/f-eloszto-4-utas-sat-tsp-1913x-5507")</f>
        <v>0.0</v>
      </c>
      <c r="E1336" s="7" t="n">
        <f>HYPERLINK("https://www.somogyi.hu/data/img/product_main_images/small/05507.jpg","https://www.somogyi.hu/data/img/product_main_images/small/05507.jpg")</f>
        <v>0.0</v>
      </c>
      <c r="F1336" s="2" t="inlineStr">
        <is>
          <t>5998312748701</t>
        </is>
      </c>
      <c r="G1336" s="4" t="inlineStr">
        <is>
          <t xml:space="preserve"> • csatlakozók: "F" bemenet / 4 x "F" kimenet 
 • ház anyaga: fém 
 • frekvenciaátvitel: 900 - 2400 MHz 
 • bliszterben: igen</t>
        </is>
      </c>
    </row>
    <row r="1337">
      <c r="A1337" s="3" t="inlineStr">
        <is>
          <t>FF 13</t>
        </is>
      </c>
      <c r="B1337" s="2" t="inlineStr">
        <is>
          <t>Home FF 13 csatlakozó átalakító, aljzat-aljzat, fém, csavarható, egyenes kivitel</t>
        </is>
      </c>
      <c r="C1337" s="1" t="n">
        <v>149.0</v>
      </c>
      <c r="D1337" s="7" t="n">
        <f>HYPERLINK("https://www.somogyi.hu/product/home-ff-13-csatlakozo-atalakito-aljzat-aljzat-fem-csavarhato-egyenes-kivitel-ff-13-1982","https://www.somogyi.hu/product/home-ff-13-csatlakozo-atalakito-aljzat-aljzat-fem-csavarhato-egyenes-kivitel-ff-13-1982")</f>
        <v>0.0</v>
      </c>
      <c r="E1337" s="7" t="n">
        <f>HYPERLINK("https://www.somogyi.hu/data/img/product_main_images/small/01982.jpg","https://www.somogyi.hu/data/img/product_main_images/small/01982.jpg")</f>
        <v>0.0</v>
      </c>
      <c r="F1337" s="2" t="inlineStr">
        <is>
          <t>5998312711804</t>
        </is>
      </c>
      <c r="G1337" s="4" t="inlineStr">
        <is>
          <t>Keresse az igényeinek megfelelő koax csatlakozókat! Az FF 13 toldó mindkét végén egy F aljzattal rendelkezik. Válassza a minőségi termékeket és rendeljen webáruházunkból.</t>
        </is>
      </c>
    </row>
    <row r="1338">
      <c r="A1338" s="3" t="inlineStr">
        <is>
          <t>FS 1819X</t>
        </is>
      </c>
      <c r="B1338" s="2" t="inlineStr">
        <is>
          <t>1 db koax dugó + 1 db koax aljzat</t>
        </is>
      </c>
      <c r="C1338" s="1" t="n">
        <v>369.0</v>
      </c>
      <c r="D1338" s="7" t="n">
        <f>HYPERLINK("https://www.somogyi.hu/product/1-db-koax-dugo-1-db-koax-aljzat-fs-1819x-2192","https://www.somogyi.hu/product/1-db-koax-dugo-1-db-koax-aljzat-fs-1819x-2192")</f>
        <v>0.0</v>
      </c>
      <c r="E1338" s="7" t="n">
        <f>HYPERLINK("https://www.somogyi.hu/data/img/product_main_images/small/02192.jpg","https://www.somogyi.hu/data/img/product_main_images/small/02192.jpg")</f>
        <v>0.0</v>
      </c>
      <c r="F1338" s="2" t="inlineStr">
        <is>
          <t>5998312724576</t>
        </is>
      </c>
      <c r="G1338" s="4" t="inlineStr">
        <is>
          <t xml:space="preserve"> • csatlakozók: koax dugó + koax aljzat 
 • ház anyaga: műanyag 
 • bekötés: csavaros 
 • bliszterben: igen</t>
        </is>
      </c>
    </row>
    <row r="1339">
      <c r="A1339" s="3" t="inlineStr">
        <is>
          <t>FST 1X</t>
        </is>
      </c>
      <c r="B1339" s="2" t="inlineStr">
        <is>
          <t>Koax dugó, fém, kábelre tekerhető</t>
        </is>
      </c>
      <c r="C1339" s="1" t="n">
        <v>599.0</v>
      </c>
      <c r="D1339" s="7" t="n">
        <f>HYPERLINK("https://www.somogyi.hu/product/koax-dugo-fem-kabelre-tekerheto-fst-1x-2784","https://www.somogyi.hu/product/koax-dugo-fem-kabelre-tekerheto-fst-1x-2784")</f>
        <v>0.0</v>
      </c>
      <c r="E1339" s="7" t="n">
        <f>HYPERLINK("https://www.somogyi.hu/data/img/product_main_images/small/02784.jpg","https://www.somogyi.hu/data/img/product_main_images/small/02784.jpg")</f>
        <v>0.0</v>
      </c>
      <c r="F1339" s="2" t="inlineStr">
        <is>
          <t>5998312731086</t>
        </is>
      </c>
      <c r="G1339" s="4" t="inlineStr">
        <is>
          <t xml:space="preserve"> • csatlakozók: koax aljzat 
 • ház anyaga: fém 
 • bekötés: RG 6-os kábelre tekerhető 
 • bliszterben: igen</t>
        </is>
      </c>
    </row>
    <row r="1340">
      <c r="A1340" s="3" t="inlineStr">
        <is>
          <t>FS 19X</t>
        </is>
      </c>
      <c r="B1340" s="2" t="inlineStr">
        <is>
          <t>Koax aljzat</t>
        </is>
      </c>
      <c r="C1340" s="1" t="n">
        <v>369.0</v>
      </c>
      <c r="D1340" s="7" t="n">
        <f>HYPERLINK("https://www.somogyi.hu/product/koax-aljzat-fs-19x-2438","https://www.somogyi.hu/product/koax-aljzat-fs-19x-2438")</f>
        <v>0.0</v>
      </c>
      <c r="E1340" s="7" t="n">
        <f>HYPERLINK("https://www.somogyi.hu/data/img/product_main_images/small/02438.jpg","https://www.somogyi.hu/data/img/product_main_images/small/02438.jpg")</f>
        <v>0.0</v>
      </c>
      <c r="F1340" s="2" t="inlineStr">
        <is>
          <t>5998312727478</t>
        </is>
      </c>
      <c r="G1340" s="4" t="inlineStr">
        <is>
          <t xml:space="preserve"> • csatlakozók: koax aljzat 
 • ház anyaga: műanyag 
 • bekötés: csavaros 
 • bliszterben: igen</t>
        </is>
      </c>
    </row>
    <row r="1341">
      <c r="A1341" s="3" t="inlineStr">
        <is>
          <t>FST 1</t>
        </is>
      </c>
      <c r="B1341" s="2" t="inlineStr">
        <is>
          <t>Home FST 1 koax dugó, fém, RG 6 kábelre tekerhető, egyenes kivitel</t>
        </is>
      </c>
      <c r="C1341" s="1" t="n">
        <v>499.0</v>
      </c>
      <c r="D1341" s="7" t="n">
        <f>HYPERLINK("https://www.somogyi.hu/product/home-fst-1-koax-dugo-fem-rg-6-kabelre-tekerheto-egyenes-kivitel-fst-1-2380","https://www.somogyi.hu/product/home-fst-1-koax-dugo-fem-rg-6-kabelre-tekerheto-egyenes-kivitel-fst-1-2380")</f>
        <v>0.0</v>
      </c>
      <c r="E1341" s="7" t="n">
        <f>HYPERLINK("https://www.somogyi.hu/data/img/product_main_images/small/02380.jpg","https://www.somogyi.hu/data/img/product_main_images/small/02380.jpg")</f>
        <v>0.0</v>
      </c>
      <c r="F1341" s="2" t="inlineStr">
        <is>
          <t>5998312726877</t>
        </is>
      </c>
      <c r="G1341" s="4" t="inlineStr">
        <is>
          <t>Megbízható kialakítású koax csatlakozót keres? Ez esetben tekintse meg csatlakozóink széles kínálatát! Az FST 1 egy masszív fém alakú lengő koax dugó, amely közvetlenül RG 6-os kábelre tekerhető. Válassza a minőségi termékeket és rendeljen webáruházunkból.</t>
        </is>
      </c>
    </row>
    <row r="1342">
      <c r="A1342" s="3" t="inlineStr">
        <is>
          <t>FF 18</t>
        </is>
      </c>
      <c r="B1342" s="2" t="inlineStr">
        <is>
          <t>Home FF 18 csatlakozó átalakító, koax dugó-F aljzat, fém, csavarható, egyenes kivitel</t>
        </is>
      </c>
      <c r="C1342" s="1" t="n">
        <v>469.0</v>
      </c>
      <c r="D1342" s="7" t="n">
        <f>HYPERLINK("https://www.somogyi.hu/product/home-ff-18-csatlakozo-atalakito-koax-dugo-f-aljzat-fem-csavarhato-egyenes-kivitel-ff-18-1983","https://www.somogyi.hu/product/home-ff-18-csatlakozo-atalakito-koax-dugo-f-aljzat-fem-csavarhato-egyenes-kivitel-ff-18-1983")</f>
        <v>0.0</v>
      </c>
      <c r="E1342" s="7" t="n">
        <f>HYPERLINK("https://www.somogyi.hu/data/img/product_main_images/small/01983.jpg","https://www.somogyi.hu/data/img/product_main_images/small/01983.jpg")</f>
        <v>0.0</v>
      </c>
      <c r="F1342" s="2" t="inlineStr">
        <is>
          <t>5998312711811</t>
        </is>
      </c>
      <c r="G1342" s="4" t="inlineStr">
        <is>
          <t>Széles kínálatunkban garantáltan megtalálhatja az igényeinek megfelelő csatlakozókat és átalakítókat! Az FF 18 fém kialakítással rendelkező átalakító Koax dugóval és F aljzattal. Válassza a minőségi termékeket és rendeljen webáruházunkból.</t>
        </is>
      </c>
    </row>
    <row r="1343">
      <c r="A1343" s="3" t="inlineStr">
        <is>
          <t>FST 2</t>
        </is>
      </c>
      <c r="B1343" s="2" t="inlineStr">
        <is>
          <t>Home FST 2 koax aljzat, fém, RG 6 kábelre tekerhető, egyenes kivitel</t>
        </is>
      </c>
      <c r="C1343" s="1" t="n">
        <v>499.0</v>
      </c>
      <c r="D1343" s="7" t="n">
        <f>HYPERLINK("https://www.somogyi.hu/product/home-fst-2-koax-aljzat-fem-rg-6-kabelre-tekerheto-egyenes-kivitel-fst-2-1790","https://www.somogyi.hu/product/home-fst-2-koax-aljzat-fem-rg-6-kabelre-tekerheto-egyenes-kivitel-fst-2-1790")</f>
        <v>0.0</v>
      </c>
      <c r="E1343" s="7" t="n">
        <f>HYPERLINK("https://www.somogyi.hu/data/img/product_main_images/small/01790.jpg","https://www.somogyi.hu/data/img/product_main_images/small/01790.jpg")</f>
        <v>0.0</v>
      </c>
      <c r="F1343" s="2" t="inlineStr">
        <is>
          <t>5998312702536</t>
        </is>
      </c>
      <c r="G1343" s="4" t="inlineStr">
        <is>
          <t>Megbízható kialakítású koax csatlakozót keres? Ez esetben tekintse meg csatlakozóink széles kínálatát! Az FST 2 masszív fém kábelre tekerhető lengő koax aljzat, amely közvetlenül RG 6-os típushoz ajánlott. Válassza a minőségi termékeket és rendeljen webáruházunkból.</t>
        </is>
      </c>
    </row>
    <row r="1344">
      <c r="A1344" s="3" t="inlineStr">
        <is>
          <t>F 803C</t>
        </is>
      </c>
      <c r="B1344" s="2" t="inlineStr">
        <is>
          <t>Home F 803C F csatlakozódugó, fém, S6TSV kábelre préselhető, egyenes kivitel</t>
        </is>
      </c>
      <c r="C1344" s="1" t="n">
        <v>179.0</v>
      </c>
      <c r="D1344" s="7" t="n">
        <f>HYPERLINK("https://www.somogyi.hu/product/home-f-803c-f-csatlakozodugo-fem-s6tsv-kabelre-preselheto-egyenes-kivitel-f-803c-2992","https://www.somogyi.hu/product/home-f-803c-f-csatlakozodugo-fem-s6tsv-kabelre-preselheto-egyenes-kivitel-f-803c-2992")</f>
        <v>0.0</v>
      </c>
      <c r="E1344" s="7" t="n">
        <f>HYPERLINK("https://www.somogyi.hu/data/img/product_main_images/small/02992.jpg","https://www.somogyi.hu/data/img/product_main_images/small/02992.jpg")</f>
        <v>0.0</v>
      </c>
      <c r="F1344" s="2" t="inlineStr">
        <is>
          <t>5998312733165</t>
        </is>
      </c>
      <c r="G1344" s="4" t="inlineStr">
        <is>
          <t>Széles kínálatunkban garantáltan megtalálhatja az igényeinek megfelelő csatlakozókat és átalakítókat! Az F 803C fém kialakítással rendelkező F csatlakozó, préselhető típus. Különösen ajánlott S 6TSV kábelhez. Válassza a minőségi termékeket és rendeljen webáruházunkból.</t>
        </is>
      </c>
    </row>
    <row r="1345">
      <c r="A1345" s="3" t="inlineStr">
        <is>
          <t>FS 1X</t>
        </is>
      </c>
      <c r="B1345" s="2" t="inlineStr">
        <is>
          <t>Koax dugó, pipa</t>
        </is>
      </c>
      <c r="C1345" s="1" t="n">
        <v>369.0</v>
      </c>
      <c r="D1345" s="7" t="n">
        <f>HYPERLINK("https://www.somogyi.hu/product/koax-dugo-pipa-fs-1x-2193","https://www.somogyi.hu/product/koax-dugo-pipa-fs-1x-2193")</f>
        <v>0.0</v>
      </c>
      <c r="E1345" s="7" t="n">
        <f>HYPERLINK("https://www.somogyi.hu/data/img/product_main_images/small/02193.jpg","https://www.somogyi.hu/data/img/product_main_images/small/02193.jpg")</f>
        <v>0.0</v>
      </c>
      <c r="F1345" s="2" t="inlineStr">
        <is>
          <t>5998312724583</t>
        </is>
      </c>
      <c r="G1345" s="4" t="inlineStr">
        <is>
          <t xml:space="preserve"> • csatlakozók: koax pipa dugó 
 • ház anyaga: műanyag 
 • bekötés: csavaros 
 • bliszterben: igen</t>
        </is>
      </c>
    </row>
    <row r="1346">
      <c r="A1346" s="6" t="inlineStr">
        <is>
          <t xml:space="preserve">   Audio-video kiegészítők / Tápegységdugó, akku-/krokodilcsipesz, sorkapocs, elemcsatlakozó</t>
        </is>
      </c>
      <c r="B1346" s="6" t="inlineStr">
        <is>
          <t/>
        </is>
      </c>
      <c r="C1346" s="6" t="inlineStr">
        <is>
          <t/>
        </is>
      </c>
      <c r="D1346" s="6" t="inlineStr">
        <is>
          <t/>
        </is>
      </c>
      <c r="E1346" s="6" t="inlineStr">
        <is>
          <t/>
        </is>
      </c>
      <c r="F1346" s="6" t="inlineStr">
        <is>
          <t/>
        </is>
      </c>
      <c r="G1346" s="6" t="inlineStr">
        <is>
          <t/>
        </is>
      </c>
    </row>
    <row r="1347">
      <c r="A1347" s="3" t="inlineStr">
        <is>
          <t>DC 1K</t>
        </is>
      </c>
      <c r="B1347" s="2" t="inlineStr">
        <is>
          <t>Home DC 1K, DC zsinórközi kapcsoló, 2x15 cm vezeték, 3A, 36W</t>
        </is>
      </c>
      <c r="C1347" s="1" t="n">
        <v>929.0</v>
      </c>
      <c r="D1347" s="7" t="n">
        <f>HYPERLINK("https://www.somogyi.hu/product/home-dc-1k-dc-zsinorkozi-kapcsolo-2x15-cm-vezetek-3a-36w-dc-1k-15056","https://www.somogyi.hu/product/home-dc-1k-dc-zsinorkozi-kapcsolo-2x15-cm-vezetek-3a-36w-dc-1k-15056")</f>
        <v>0.0</v>
      </c>
      <c r="E1347" s="7" t="n">
        <f>HYPERLINK("https://www.somogyi.hu/data/img/product_main_images/small/15056.jpg","https://www.somogyi.hu/data/img/product_main_images/small/15056.jpg")</f>
        <v>0.0</v>
      </c>
      <c r="F1347" s="2" t="inlineStr">
        <is>
          <t>5999084930905</t>
        </is>
      </c>
      <c r="G1347" s="4" t="inlineStr">
        <is>
          <t xml:space="preserve"> • csatlakozó: 2,1 x 5,5 mm 
 • feszültség: 12 V 
 • terhelhetőség: 3 A 
 • kábelhossz: 2 x kb 15 cm kábel, aljzat + dugó 
 • egyéb információ: kábelek között 12V kapcsoló</t>
        </is>
      </c>
    </row>
    <row r="1348">
      <c r="A1348" s="3" t="inlineStr">
        <is>
          <t>VBC 30/BK</t>
        </is>
      </c>
      <c r="B1348" s="2" t="inlineStr">
        <is>
          <t>Home VBC 30/BK akkumulátorcsipesz, 30 A, szigetelt, forrasztható, 12 V, 75 mm, fekete</t>
        </is>
      </c>
      <c r="C1348" s="1" t="n">
        <v>229.0</v>
      </c>
      <c r="D1348" s="7" t="n">
        <f>HYPERLINK("https://www.somogyi.hu/product/home-vbc-30-bk-akkumulatorcsipesz-30-a-szigetelt-forraszthato-12-v-75-mm-fekete-vbc-30-bk-4213","https://www.somogyi.hu/product/home-vbc-30-bk-akkumulatorcsipesz-30-a-szigetelt-forraszthato-12-v-75-mm-fekete-vbc-30-bk-4213")</f>
        <v>0.0</v>
      </c>
      <c r="E1348" s="7" t="n">
        <f>HYPERLINK("https://www.somogyi.hu/data/img/product_main_images/small/04213.jpg","https://www.somogyi.hu/data/img/product_main_images/small/04213.jpg")</f>
        <v>0.0</v>
      </c>
      <c r="F1348" s="2" t="inlineStr">
        <is>
          <t>5998312737446</t>
        </is>
      </c>
      <c r="G1348" s="4" t="inlineStr">
        <is>
          <t>Nálunk garantáltan megtalálja az igényeinek megfelelő akkumulátor csipeszeket!
A fekete színű VBC 30/BK (30 A) szigetelt, illetve forrasztható kivitelben kapható. Felhasználhatósága: 12 DC. A termék hossza: 75 mm. Válassza a minőségi termékeket és rendeljen webáruházunkból.</t>
        </is>
      </c>
    </row>
    <row r="1349">
      <c r="A1349" s="3" t="inlineStr">
        <is>
          <t>VCC 3/RD</t>
        </is>
      </c>
      <c r="B1349" s="2" t="inlineStr">
        <is>
          <t>Home VCC 3/BK krokodilcsipesz, végig szigetelt, forrasztható, 55 mm, piros</t>
        </is>
      </c>
      <c r="C1349" s="1" t="n">
        <v>79.0</v>
      </c>
      <c r="D1349" s="7" t="n">
        <f>HYPERLINK("https://www.somogyi.hu/product/home-vcc-3-bk-krokodilcsipesz-vegig-szigetelt-forraszthato-55-mm-piros-vcc-3-rd-2054","https://www.somogyi.hu/product/home-vcc-3-bk-krokodilcsipesz-vegig-szigetelt-forraszthato-55-mm-piros-vcc-3-rd-2054")</f>
        <v>0.0</v>
      </c>
      <c r="E1349" s="7" t="n">
        <f>HYPERLINK("https://www.somogyi.hu/data/img/product_main_images/small/02054.jpg","https://www.somogyi.hu/data/img/product_main_images/small/02054.jpg")</f>
        <v>0.0</v>
      </c>
      <c r="F1349" s="2" t="inlineStr">
        <is>
          <t>5998312722756</t>
        </is>
      </c>
      <c r="G1349" s="4" t="inlineStr">
        <is>
          <t>Nálunk garantáltan megtalálja az igényeinek megfelelő krokodilcsipeszeket!
A piros színű VCC 3/RD krokodilcsipesz 55 mm-es hosszúságban kapható. A termék előnye, hogy végig szigetelt, forrasztható kivitelben készült. Válassza a minőségi termékeket és rendeljen webáruházunkból.</t>
        </is>
      </c>
    </row>
    <row r="1350">
      <c r="A1350" s="3" t="inlineStr">
        <is>
          <t>VCC 3/BK</t>
        </is>
      </c>
      <c r="B1350" s="2" t="inlineStr">
        <is>
          <t>Home VCC 3/BK krokodilcsipesz, végig szigetelt, forrasztható, 55 mm, fekete</t>
        </is>
      </c>
      <c r="C1350" s="1" t="n">
        <v>79.0</v>
      </c>
      <c r="D1350" s="7" t="n">
        <f>HYPERLINK("https://www.somogyi.hu/product/home-vcc-3-bk-krokodilcsipesz-vegig-szigetelt-forraszthato-55-mm-fekete-vcc-3-bk-2055","https://www.somogyi.hu/product/home-vcc-3-bk-krokodilcsipesz-vegig-szigetelt-forraszthato-55-mm-fekete-vcc-3-bk-2055")</f>
        <v>0.0</v>
      </c>
      <c r="E1350" s="7" t="n">
        <f>HYPERLINK("https://www.somogyi.hu/data/img/product_main_images/small/02055.jpg","https://www.somogyi.hu/data/img/product_main_images/small/02055.jpg")</f>
        <v>0.0</v>
      </c>
      <c r="F1350" s="2" t="inlineStr">
        <is>
          <t>5998312722770</t>
        </is>
      </c>
      <c r="G1350" s="4" t="inlineStr">
        <is>
          <t>Nálunk garantáltan megtalálja az igényeinek megfelelő krokodilcsipeszeket!
A fekete színű VCC 3/BK krokodilcsipesz 55 mm-es hosszúságban kapható. A termék előnye, hogy végig szigetelt, forrasztható kivitelben készült. Válassza a minőségi termékeket és rendeljen webáruházunkból.</t>
        </is>
      </c>
    </row>
    <row r="1351">
      <c r="A1351" s="3" t="inlineStr">
        <is>
          <t>VBC 7/BK</t>
        </is>
      </c>
      <c r="B1351" s="2" t="inlineStr">
        <is>
          <t>Home VBC 7/BK akkumulátorcsipesz, 50 A, szigetelt, forrasztható, 12 V, 100 mm, fekete</t>
        </is>
      </c>
      <c r="C1351" s="1" t="n">
        <v>329.0</v>
      </c>
      <c r="D1351" s="7" t="n">
        <f>HYPERLINK("https://www.somogyi.hu/product/home-vbc-7-bk-akkumulatorcsipesz-50-a-szigetelt-forraszthato-12-v-100-mm-fekete-vbc-7-bk-2083","https://www.somogyi.hu/product/home-vbc-7-bk-akkumulatorcsipesz-50-a-szigetelt-forraszthato-12-v-100-mm-fekete-vbc-7-bk-2083")</f>
        <v>0.0</v>
      </c>
      <c r="E1351" s="7" t="n">
        <f>HYPERLINK("https://www.somogyi.hu/data/img/product_main_images/small/02083.jpg","https://www.somogyi.hu/data/img/product_main_images/small/02083.jpg")</f>
        <v>0.0</v>
      </c>
      <c r="F1351" s="2" t="inlineStr">
        <is>
          <t>5998312723173</t>
        </is>
      </c>
      <c r="G1351" s="4" t="inlineStr">
        <is>
          <t>Nálunk garantáltan megtalálja az igényeinek megfelelő akkumulátor csipeszeket!
A fekete színű VBC 7/BK (50 A) szigetelt, illetve forrasztható kivitelben kapható. Felhasználhatósága: 12 DC. A termék hossza: 100 mm. Válassza a minőségi termékeket és rendeljen webáruházunkból.</t>
        </is>
      </c>
    </row>
    <row r="1352">
      <c r="A1352" s="3" t="inlineStr">
        <is>
          <t>VBC 30/RD</t>
        </is>
      </c>
      <c r="B1352" s="2" t="inlineStr">
        <is>
          <t>Home VBC 30/RD akkumulátorcsipesz, 30 A, szigetelt, forrasztható, 12 V, 75 mm, piros</t>
        </is>
      </c>
      <c r="C1352" s="1" t="n">
        <v>229.0</v>
      </c>
      <c r="D1352" s="7" t="n">
        <f>HYPERLINK("https://www.somogyi.hu/product/home-vbc-30-rd-akkumulatorcsipesz-30-a-szigetelt-forraszthato-12-v-75-mm-piros-vbc-30-rd-4212","https://www.somogyi.hu/product/home-vbc-30-rd-akkumulatorcsipesz-30-a-szigetelt-forraszthato-12-v-75-mm-piros-vbc-30-rd-4212")</f>
        <v>0.0</v>
      </c>
      <c r="E1352" s="7" t="n">
        <f>HYPERLINK("https://www.somogyi.hu/data/img/product_main_images/small/04212.jpg","https://www.somogyi.hu/data/img/product_main_images/small/04212.jpg")</f>
        <v>0.0</v>
      </c>
      <c r="F1352" s="2" t="inlineStr">
        <is>
          <t>5998312737439</t>
        </is>
      </c>
      <c r="G1352" s="4" t="inlineStr">
        <is>
          <t>Nálunk garantáltan megtalálja az igényeinek megfelelő akkumulátor csipeszeket!
A piros színű VBC 30/RD (30 A) szigetelt, illetve forrasztható kivitelben kapható. Felhasználhatósága: 12 DC. A termék hossza: 75 mm. Válassza a minőségi termékeket és rendeljen webáruházunkból.</t>
        </is>
      </c>
    </row>
    <row r="1353">
      <c r="A1353" s="3" t="inlineStr">
        <is>
          <t>ALC 4/BK</t>
        </is>
      </c>
      <c r="B1353" s="2" t="inlineStr">
        <is>
          <t>Home ALC 4/BK aligátorcsipesz banánhüvellyel, szigetelt, csavarozható, 65mm, fekete</t>
        </is>
      </c>
      <c r="C1353" s="1" t="n">
        <v>129.0</v>
      </c>
      <c r="D1353" s="7" t="n">
        <f>HYPERLINK("https://www.somogyi.hu/product/home-alc-4-bk-aligatorcsipesz-bananhuvellyel-szigetelt-csavarozhato-65mm-fekete-alc-4-bk-2057","https://www.somogyi.hu/product/home-alc-4-bk-aligatorcsipesz-bananhuvellyel-szigetelt-csavarozhato-65mm-fekete-alc-4-bk-2057")</f>
        <v>0.0</v>
      </c>
      <c r="E1353" s="7" t="n">
        <f>HYPERLINK("https://www.somogyi.hu/data/img/product_main_images/small/02057.jpg","https://www.somogyi.hu/data/img/product_main_images/small/02057.jpg")</f>
        <v>0.0</v>
      </c>
      <c r="F1353" s="2" t="inlineStr">
        <is>
          <t>5998312722817</t>
        </is>
      </c>
      <c r="G1353" s="4" t="inlineStr">
        <is>
          <t>Nálunk garantáltan megtalálja az igényeinek megfelelő akkumulátor csipeszeket!
A fekete színű ALC 4/BK aligátorcsipesz szigetelt, illetve csavarozható kivitelben kapható. A termék hossza: 65 mm. Válassza a minőségi termékeket és rendeljen webáruházunkból.</t>
        </is>
      </c>
    </row>
    <row r="1354">
      <c r="A1354" s="3" t="inlineStr">
        <is>
          <t>ALC 4/RD</t>
        </is>
      </c>
      <c r="B1354" s="2" t="inlineStr">
        <is>
          <t>Home ALC 4/BK aligátorcsipesz banánhüvellyel, szigetelt, csavarozható, 65mm, piros</t>
        </is>
      </c>
      <c r="C1354" s="1" t="n">
        <v>129.0</v>
      </c>
      <c r="D1354" s="7" t="n">
        <f>HYPERLINK("https://www.somogyi.hu/product/home-alc-4-bk-aligatorcsipesz-bananhuvellyel-szigetelt-csavarozhato-65mm-piros-alc-4-rd-2056","https://www.somogyi.hu/product/home-alc-4-bk-aligatorcsipesz-bananhuvellyel-szigetelt-csavarozhato-65mm-piros-alc-4-rd-2056")</f>
        <v>0.0</v>
      </c>
      <c r="E1354" s="7" t="n">
        <f>HYPERLINK("https://www.somogyi.hu/data/img/product_main_images/small/02056.jpg","https://www.somogyi.hu/data/img/product_main_images/small/02056.jpg")</f>
        <v>0.0</v>
      </c>
      <c r="F1354" s="2" t="inlineStr">
        <is>
          <t>5998312722794</t>
        </is>
      </c>
      <c r="G1354" s="4" t="inlineStr">
        <is>
          <t>Nálunk garantáltan megtalálja az igényeinek megfelelő akkumulátor csipeszeket!
A piros színű ALC 4/RD aligátorcsipesz szigetelt, illetve csavarozható kivitelben kapható. A termék hossza: 65 mm. Válassza a minőségi termékeket és rendeljen webáruházunkból.</t>
        </is>
      </c>
    </row>
    <row r="1355">
      <c r="A1355" s="3" t="inlineStr">
        <is>
          <t>VBC 7/RD</t>
        </is>
      </c>
      <c r="B1355" s="2" t="inlineStr">
        <is>
          <t>Home VBC 7/RD akkumulátorcsipesz, 50 A, szigetelt, forrasztható, 12 V, 100 mm, piros</t>
        </is>
      </c>
      <c r="C1355" s="1" t="n">
        <v>329.0</v>
      </c>
      <c r="D1355" s="7" t="n">
        <f>HYPERLINK("https://www.somogyi.hu/product/home-vbc-7-rd-akkumulatorcsipesz-50-a-szigetelt-forraszthato-12-v-100-mm-piros-vbc-7-rd-1954","https://www.somogyi.hu/product/home-vbc-7-rd-akkumulatorcsipesz-50-a-szigetelt-forraszthato-12-v-100-mm-piros-vbc-7-rd-1954")</f>
        <v>0.0</v>
      </c>
      <c r="E1355" s="7" t="n">
        <f>HYPERLINK("https://www.somogyi.hu/data/img/product_main_images/small/01954.jpg","https://www.somogyi.hu/data/img/product_main_images/small/01954.jpg")</f>
        <v>0.0</v>
      </c>
      <c r="F1355" s="2" t="inlineStr">
        <is>
          <t>5998312705704</t>
        </is>
      </c>
      <c r="G1355" s="4" t="inlineStr">
        <is>
          <t>Nálunk garantáltan megtalálja az igényeinek megfelelő akkumulátor csipeszeket!
A piros színű VBC 7/RD (50 A) szigetelt, illetve forrasztható kivitelben kapható. Felhasználhatósága: 12 DC. A termék hossza: 100 mm. Válassza a minőségi termékeket és rendeljen webáruházunkból.</t>
        </is>
      </c>
    </row>
    <row r="1356">
      <c r="A1356" s="3" t="inlineStr">
        <is>
          <t>ALC 44X</t>
        </is>
      </c>
      <c r="B1356" s="2" t="inlineStr">
        <is>
          <t>Aligátorcsipesz, piros, fekete, banánaljzat</t>
        </is>
      </c>
      <c r="C1356" s="1" t="n">
        <v>369.0</v>
      </c>
      <c r="D1356" s="7" t="n">
        <f>HYPERLINK("https://www.somogyi.hu/product/aligatorcsipesz-piros-fekete-bananaljzat-alc-44x-2270","https://www.somogyi.hu/product/aligatorcsipesz-piros-fekete-bananaljzat-alc-44x-2270")</f>
        <v>0.0</v>
      </c>
      <c r="E1356" s="7" t="n">
        <f>HYPERLINK("https://www.somogyi.hu/data/img/product_main_images/small/02270.jpg","https://www.somogyi.hu/data/img/product_main_images/small/02270.jpg")</f>
        <v>0.0</v>
      </c>
      <c r="F1356" s="2" t="inlineStr">
        <is>
          <t>5998312725368</t>
        </is>
      </c>
      <c r="G1356" s="4" t="inlineStr">
        <is>
          <t xml:space="preserve"> • csatlakozó: 2 x ALC 4 aligátorcsipesz 
 • bekötés: banán aljzat / csavaros 
 • méret: 65 mm 
 • egyéb információ: fekete + piros 
 • bliszterben: igen</t>
        </is>
      </c>
    </row>
    <row r="1357">
      <c r="A1357" s="3" t="inlineStr">
        <is>
          <t>DC 2CS</t>
        </is>
      </c>
      <c r="B1357" s="2" t="inlineStr">
        <is>
          <t>Home DC 2CS, DC csatlakozópár sorkapoccsal, 3A, 36W, 0,5-1 mm2 vezeték</t>
        </is>
      </c>
      <c r="C1357" s="1" t="n">
        <v>599.0</v>
      </c>
      <c r="D1357" s="7" t="n">
        <f>HYPERLINK("https://www.somogyi.hu/product/home-dc-2cs-dc-csatlakozopar-sorkapoccsal-3a-36w-0-5-1-mm2-vezetek-dc-2cs-15057","https://www.somogyi.hu/product/home-dc-2cs-dc-csatlakozopar-sorkapoccsal-3a-36w-0-5-1-mm2-vezetek-dc-2cs-15057")</f>
        <v>0.0</v>
      </c>
      <c r="E1357" s="7" t="n">
        <f>HYPERLINK("https://www.somogyi.hu/data/img/product_main_images/small/15057.jpg","https://www.somogyi.hu/data/img/product_main_images/small/15057.jpg")</f>
        <v>0.0</v>
      </c>
      <c r="F1357" s="2" t="inlineStr">
        <is>
          <t>5999084930912</t>
        </is>
      </c>
      <c r="G1357" s="4" t="inlineStr">
        <is>
          <t xml:space="preserve"> • csatlakozó: 2,1 x 5,5 mm 
 • bekötés: sorkapocs (csavaros) 
 • ház anyaga: műanyag 
 • feszültség: 12 V DC 
 • terhelhetőség: 3 A 
 • egyéb információ: aljzat - dugó párban</t>
        </is>
      </c>
    </row>
    <row r="1358">
      <c r="A1358" s="3" t="inlineStr">
        <is>
          <t>VBC 100/BK</t>
        </is>
      </c>
      <c r="B1358" s="2" t="inlineStr">
        <is>
          <t>Home VBC 100/BK akkumulátorcsipesz, 100 A, szigetelt, forrasztható, 12 V, 110 mm, fekete</t>
        </is>
      </c>
      <c r="C1358" s="1" t="n">
        <v>599.0</v>
      </c>
      <c r="D1358" s="7" t="n">
        <f>HYPERLINK("https://www.somogyi.hu/product/home-vbc-100-bk-akkumulatorcsipesz-100-a-szigetelt-forraszthato-12-v-110-mm-fekete-vbc-100-bk-4214","https://www.somogyi.hu/product/home-vbc-100-bk-akkumulatorcsipesz-100-a-szigetelt-forraszthato-12-v-110-mm-fekete-vbc-100-bk-4214")</f>
        <v>0.0</v>
      </c>
      <c r="E1358" s="7" t="n">
        <f>HYPERLINK("https://www.somogyi.hu/data/img/product_main_images/small/04214.jpg","https://www.somogyi.hu/data/img/product_main_images/small/04214.jpg")</f>
        <v>0.0</v>
      </c>
      <c r="F1358" s="2" t="inlineStr">
        <is>
          <t>5998312737453</t>
        </is>
      </c>
      <c r="G1358" s="4" t="inlineStr">
        <is>
          <t>Nálunk garantáltan megtalálja az igényeinek megfelelő akkumulátor csipeszeket!
A fekete színű VBC 100/ BK (100 A) szigetelt, illetve forrasztható kivitelben kapható. Felhasználhatósága: 12 DC. A termék hossza: 110 mm. Válassza a minőségi termékeket és rendeljen webáruházunkból.</t>
        </is>
      </c>
    </row>
    <row r="1359">
      <c r="A1359" s="3" t="inlineStr">
        <is>
          <t>BH 036</t>
        </is>
      </c>
      <c r="B1359" s="2" t="inlineStr">
        <is>
          <t>Home BH 036 elemcsatlakozó, 9V elemhez, 15cm vezeték</t>
        </is>
      </c>
      <c r="C1359" s="1" t="n">
        <v>149.0</v>
      </c>
      <c r="D1359" s="7" t="n">
        <f>HYPERLINK("https://www.somogyi.hu/product/home-bh-036-elemcsatlakozo-9v-elemhez-15cm-vezetek-bh-036-1725","https://www.somogyi.hu/product/home-bh-036-elemcsatlakozo-9v-elemhez-15cm-vezetek-bh-036-1725")</f>
        <v>0.0</v>
      </c>
      <c r="E1359" s="7" t="n">
        <f>HYPERLINK("https://www.somogyi.hu/data/img/product_main_images/small/01725.jpg","https://www.somogyi.hu/data/img/product_main_images/small/01725.jpg")</f>
        <v>0.0</v>
      </c>
      <c r="F1359" s="2" t="inlineStr">
        <is>
          <t>5998312701492</t>
        </is>
      </c>
      <c r="G1359" s="4" t="inlineStr">
        <is>
          <t>A BH 036 típusú elemcsatlakozó 9 V-os elemhez alkalmazható. A termék 15 cm-es vezetékkel rendelkezik. Válassza a minőségi termékeket és rendeljen webáruházunkból.</t>
        </is>
      </c>
    </row>
    <row r="1360">
      <c r="A1360" s="3" t="inlineStr">
        <is>
          <t>VBC 100/RD</t>
        </is>
      </c>
      <c r="B1360" s="2" t="inlineStr">
        <is>
          <t>Home VBC 100/RD akkumulátorcsipesz, 100 A, szigetelt, forrasztható, 12 V, 110 mm, piros</t>
        </is>
      </c>
      <c r="C1360" s="1" t="n">
        <v>599.0</v>
      </c>
      <c r="D1360" s="7" t="n">
        <f>HYPERLINK("https://www.somogyi.hu/product/home-vbc-100-rd-akkumulatorcsipesz-100-a-szigetelt-forraszthato-12-v-110-mm-piros-vbc-100-rd-4215","https://www.somogyi.hu/product/home-vbc-100-rd-akkumulatorcsipesz-100-a-szigetelt-forraszthato-12-v-110-mm-piros-vbc-100-rd-4215")</f>
        <v>0.0</v>
      </c>
      <c r="E1360" s="7" t="n">
        <f>HYPERLINK("https://www.somogyi.hu/data/img/product_main_images/small/04215.jpg","https://www.somogyi.hu/data/img/product_main_images/small/04215.jpg")</f>
        <v>0.0</v>
      </c>
      <c r="F1360" s="2" t="inlineStr">
        <is>
          <t>5998312737460</t>
        </is>
      </c>
      <c r="G1360" s="4" t="inlineStr">
        <is>
          <t>Nálunk garantáltan megtalálja az igényeinek megfelelő akkumulátor csipeszeket!
A piros színű VBC 100/ RD (100 A) szigetelt, illetve forrasztható kivitelben kapható. Felhasználhatósága: 12 DC. A termék hossza: 110 mm. Válassza a minőségi termékeket és rendeljen webáruházunkból.</t>
        </is>
      </c>
    </row>
    <row r="1361">
      <c r="A1361" s="3" t="inlineStr">
        <is>
          <t>VBC 200/BK</t>
        </is>
      </c>
      <c r="B1361" s="2" t="inlineStr">
        <is>
          <t>Home VBC 200/BK akkumulátorcsipesz, 200 A, szigetelt, forrasztható, 12 V, 150 mm, fekete</t>
        </is>
      </c>
      <c r="C1361" s="1" t="n">
        <v>1050.0</v>
      </c>
      <c r="D1361" s="7" t="n">
        <f>HYPERLINK("https://www.somogyi.hu/product/home-vbc-200-bk-akkumulatorcsipesz-200-a-szigetelt-forraszthato-12-v-150-mm-fekete-vbc-200-bk-4742","https://www.somogyi.hu/product/home-vbc-200-bk-akkumulatorcsipesz-200-a-szigetelt-forraszthato-12-v-150-mm-fekete-vbc-200-bk-4742")</f>
        <v>0.0</v>
      </c>
      <c r="E1361" s="7" t="n">
        <f>HYPERLINK("https://www.somogyi.hu/data/img/product_main_images/small/04742.jpg","https://www.somogyi.hu/data/img/product_main_images/small/04742.jpg")</f>
        <v>0.0</v>
      </c>
      <c r="F1361" s="2" t="inlineStr">
        <is>
          <t>5998312741863</t>
        </is>
      </c>
      <c r="G1361" s="4" t="inlineStr">
        <is>
          <t>Nálunk garantáltan megtalálja az igényeinek megfelelő akkumulátor csipeszeket!
A fekete színű VBC 200/ BK (200 A) szigetelt, illetve forrasztható kivitelben kapható. Felhasználhatósága: 12 DC. A termék hossza: 150 mm. Válassza a minőségi termékeket és rendeljen webáruházunkból.</t>
        </is>
      </c>
    </row>
    <row r="1362">
      <c r="A1362" s="3" t="inlineStr">
        <is>
          <t>VBC 200/RD</t>
        </is>
      </c>
      <c r="B1362" s="2" t="inlineStr">
        <is>
          <t>Home VBC 200/RD akkumulátorcsipesz, 200 A, szigetelt, forrasztható, 12 V, 150 mm, piros</t>
        </is>
      </c>
      <c r="C1362" s="1" t="n">
        <v>1050.0</v>
      </c>
      <c r="D1362" s="7" t="n">
        <f>HYPERLINK("https://www.somogyi.hu/product/home-vbc-200-rd-akkumulatorcsipesz-200-a-szigetelt-forraszthato-12-v-150-mm-piros-vbc-200-rd-4743","https://www.somogyi.hu/product/home-vbc-200-rd-akkumulatorcsipesz-200-a-szigetelt-forraszthato-12-v-150-mm-piros-vbc-200-rd-4743")</f>
        <v>0.0</v>
      </c>
      <c r="E1362" s="7" t="n">
        <f>HYPERLINK("https://www.somogyi.hu/data/img/product_main_images/small/04743.jpg","https://www.somogyi.hu/data/img/product_main_images/small/04743.jpg")</f>
        <v>0.0</v>
      </c>
      <c r="F1362" s="2" t="inlineStr">
        <is>
          <t>5998312741870</t>
        </is>
      </c>
      <c r="G1362" s="4" t="inlineStr">
        <is>
          <t>Nálunk garantáltan megtalálja az igényeinek megfelelő akkumulátor csipeszeket!
A piros színű VBC 200/ RD (200 A) szigetelt, illetve forrasztható kivitelben kapható. Felhasználhatósága: 12 DC. A termék hossza: 150 mm. Válassza a minőségi termékeket és rendeljen webáruházunkból.</t>
        </is>
      </c>
    </row>
    <row r="1363">
      <c r="A1363" s="6" t="inlineStr">
        <is>
          <t xml:space="preserve">   Audio-video kiegészítők / Szigeteletlen kábelsaru</t>
        </is>
      </c>
      <c r="B1363" s="6" t="inlineStr">
        <is>
          <t/>
        </is>
      </c>
      <c r="C1363" s="6" t="inlineStr">
        <is>
          <t/>
        </is>
      </c>
      <c r="D1363" s="6" t="inlineStr">
        <is>
          <t/>
        </is>
      </c>
      <c r="E1363" s="6" t="inlineStr">
        <is>
          <t/>
        </is>
      </c>
      <c r="F1363" s="6" t="inlineStr">
        <is>
          <t/>
        </is>
      </c>
      <c r="G1363" s="6" t="inlineStr">
        <is>
          <t/>
        </is>
      </c>
    </row>
    <row r="1364">
      <c r="A1364" s="3" t="inlineStr">
        <is>
          <t>KSD 2,8-0,5/Cu</t>
        </is>
      </c>
      <c r="B1364" s="2" t="inlineStr">
        <is>
          <t>Home KSD 2,8-0,5/Cu kábelsaru, réz</t>
        </is>
      </c>
      <c r="C1364" s="1" t="n">
        <v>22.0</v>
      </c>
      <c r="D1364" s="7" t="n">
        <f>HYPERLINK("https://www.somogyi.hu/product/home-ksd-2-8-0-5-cu-kabelsaru-rez-ksd-2-8-0-5-cu-5128","https://www.somogyi.hu/product/home-ksd-2-8-0-5-cu-kabelsaru-rez-ksd-2-8-0-5-cu-5128")</f>
        <v>0.0</v>
      </c>
      <c r="E1364" s="7" t="n">
        <f>HYPERLINK("https://www.somogyi.hu/data/img/product_main_images/small/05128.jpg","https://www.somogyi.hu/data/img/product_main_images/small/05128.jpg")</f>
        <v>0.0</v>
      </c>
      <c r="F1364" s="2" t="inlineStr">
        <is>
          <t>5998312745168</t>
        </is>
      </c>
      <c r="G1364" s="4" t="inlineStr">
        <is>
          <t>Széles kínálatunkban könnyedén megtalálhatja az igényeinek megfelelő  kialakítással rendelkező sarukat! 
A réz alapanyagú KSD 2,8-0,5/Cu egy szigeteletlen kábel sarú, amely 2,8 x 0,5 mm-es méretben kapható. Válassza a minőségi termékeket és rendeljen webáruházunkból.</t>
        </is>
      </c>
    </row>
    <row r="1365">
      <c r="A1365" s="3" t="inlineStr">
        <is>
          <t>KSH 2,8-0,5/Cu</t>
        </is>
      </c>
      <c r="B1365" s="2" t="inlineStr">
        <is>
          <t>Home KSH 2,8-0,5/Cu kábelsaru, réz</t>
        </is>
      </c>
      <c r="C1365" s="1" t="n">
        <v>22.0</v>
      </c>
      <c r="D1365" s="7" t="n">
        <f>HYPERLINK("https://www.somogyi.hu/product/home-ksh-2-8-0-5-cu-kabelsaru-rez-ksh-2-8-0-5-cu-5126","https://www.somogyi.hu/product/home-ksh-2-8-0-5-cu-kabelsaru-rez-ksh-2-8-0-5-cu-5126")</f>
        <v>0.0</v>
      </c>
      <c r="E1365" s="7" t="n">
        <f>HYPERLINK("https://www.somogyi.hu/data/img/product_main_images/small/05126.jpg","https://www.somogyi.hu/data/img/product_main_images/small/05126.jpg")</f>
        <v>0.0</v>
      </c>
      <c r="F1365" s="2" t="inlineStr">
        <is>
          <t>5998312745144</t>
        </is>
      </c>
      <c r="G1365" s="4" t="inlineStr">
        <is>
          <t>Széles kínálatunkban könnyedén megtalálhatja az igényeinek megfelelő  kialakítással rendelkező sarukat! 
A réz alapanyagú KSH 2,8-0,5/Cu egy szigeteletlen kábel sarú, amely 2,8 x 0,5 mm-es méretben kapható. Válassza a minőségi termékeket és rendeljen webáruházunkból.</t>
        </is>
      </c>
    </row>
    <row r="1366">
      <c r="A1366" s="3" t="inlineStr">
        <is>
          <t>KSH 6,3-0,5/Sn</t>
        </is>
      </c>
      <c r="B1366" s="2" t="inlineStr">
        <is>
          <t>Home KSH 6,3-0,5/Cu kábelsaru, ónozott réz</t>
        </is>
      </c>
      <c r="C1366" s="1" t="n">
        <v>29.0</v>
      </c>
      <c r="D1366" s="7" t="n">
        <f>HYPERLINK("https://www.somogyi.hu/product/home-ksh-6-3-0-5-cu-kabelsaru-onozott-rez-ksh-6-3-0-5-sn-5133","https://www.somogyi.hu/product/home-ksh-6-3-0-5-cu-kabelsaru-onozott-rez-ksh-6-3-0-5-sn-5133")</f>
        <v>0.0</v>
      </c>
      <c r="E1366" s="7" t="n">
        <f>HYPERLINK("https://www.somogyi.hu/data/img/product_main_images/small/05133.jpg","https://www.somogyi.hu/data/img/product_main_images/small/05133.jpg")</f>
        <v>0.0</v>
      </c>
      <c r="F1366" s="2" t="inlineStr">
        <is>
          <t>5998312745212</t>
        </is>
      </c>
      <c r="G1366" s="4" t="inlineStr">
        <is>
          <t>Széles kínálatunkban könnyedén megtalálhatja az igényeinek megfelelő  kialakítással rendelkező sarukat! 
A ónozott réz alapanyagú KSH 6,3-0,5/Cu egy szigeteletlen kábel sarú, amely 6,3 x 0,5 mm-es méretben kapható. Válassza a minőségi termékeket és rendeljen webáruházunkból.</t>
        </is>
      </c>
    </row>
    <row r="1367">
      <c r="A1367" s="3" t="inlineStr">
        <is>
          <t>KSH 4,8-0,5/Sn</t>
        </is>
      </c>
      <c r="B1367" s="2" t="inlineStr">
        <is>
          <t>Home KSH 4,8-0,5/Cu kábelsaru, ónozott réz</t>
        </is>
      </c>
      <c r="C1367" s="1" t="n">
        <v>25.0</v>
      </c>
      <c r="D1367" s="7" t="n">
        <f>HYPERLINK("https://www.somogyi.hu/product/home-ksh-4-8-0-5-cu-kabelsaru-onozott-rez-ksh-4-8-0-5-sn-5131","https://www.somogyi.hu/product/home-ksh-4-8-0-5-cu-kabelsaru-onozott-rez-ksh-4-8-0-5-sn-5131")</f>
        <v>0.0</v>
      </c>
      <c r="E1367" s="7" t="n">
        <f>HYPERLINK("https://www.somogyi.hu/data/img/product_main_images/small/05131.jpg","https://www.somogyi.hu/data/img/product_main_images/small/05131.jpg")</f>
        <v>0.0</v>
      </c>
      <c r="F1367" s="2" t="inlineStr">
        <is>
          <t>5998312745199</t>
        </is>
      </c>
      <c r="G1367" s="4" t="inlineStr">
        <is>
          <t>Széles kínálatunkban könnyedén megtalálhatja az igényeinek megfelelő  kialakítással rendelkező sarukat! 
A ónozott réz alapanyagú KSH 4,8-0,5/Sn egy szigeteletlen kábel sarú, amely 4,8 x 0,5 mm-es méretben kapható. Válassza a minőségi termékeket és rendeljen webáruházunkból.</t>
        </is>
      </c>
    </row>
    <row r="1368">
      <c r="A1368" s="3" t="inlineStr">
        <is>
          <t>KSD 4,8-0,5/Cu</t>
        </is>
      </c>
      <c r="B1368" s="2" t="inlineStr">
        <is>
          <t>Home KSD 4,8-0,5/Cu kábelsaru, réz</t>
        </is>
      </c>
      <c r="C1368" s="1" t="n">
        <v>25.0</v>
      </c>
      <c r="D1368" s="7" t="n">
        <f>HYPERLINK("https://www.somogyi.hu/product/home-ksd-4-8-0-5-cu-kabelsaru-rez-ksd-4-8-0-5-cu-5134","https://www.somogyi.hu/product/home-ksd-4-8-0-5-cu-kabelsaru-rez-ksd-4-8-0-5-cu-5134")</f>
        <v>0.0</v>
      </c>
      <c r="E1368" s="7" t="n">
        <f>HYPERLINK("https://www.somogyi.hu/data/img/product_main_images/small/05134.jpg","https://www.somogyi.hu/data/img/product_main_images/small/05134.jpg")</f>
        <v>0.0</v>
      </c>
      <c r="F1368" s="2" t="inlineStr">
        <is>
          <t>5998312745229</t>
        </is>
      </c>
      <c r="G1368" s="4" t="inlineStr">
        <is>
          <t>Széles kínálatunkban könnyedén megtalálhatja az igényeinek megfelelő  kialakítással rendelkező sarukat! 
A réz alapanyagú KSD 4,8-0,5/Cu egy szigeteletlen kábel sarú, amely 4,8 x 0,5 mm-es méretben kapható. Válassza a minőségi termékeket és rendeljen webáruházunkból.</t>
        </is>
      </c>
    </row>
    <row r="1369">
      <c r="A1369" s="3" t="inlineStr">
        <is>
          <t>KSD 6,3-0,8/Cu</t>
        </is>
      </c>
      <c r="B1369" s="2" t="inlineStr">
        <is>
          <t>Home KSD 6,3-0,8/Cu kábelsaru, réz</t>
        </is>
      </c>
      <c r="C1369" s="1" t="n">
        <v>29.0</v>
      </c>
      <c r="D1369" s="7" t="n">
        <f>HYPERLINK("https://www.somogyi.hu/product/home-ksd-6-3-0-8-cu-kabelsaru-rez-ksd-6-3-0-8-cu-5136","https://www.somogyi.hu/product/home-ksd-6-3-0-8-cu-kabelsaru-rez-ksd-6-3-0-8-cu-5136")</f>
        <v>0.0</v>
      </c>
      <c r="E1369" s="7" t="n">
        <f>HYPERLINK("https://www.somogyi.hu/data/img/product_main_images/small/05136.jpg","https://www.somogyi.hu/data/img/product_main_images/small/05136.jpg")</f>
        <v>0.0</v>
      </c>
      <c r="F1369" s="2" t="inlineStr">
        <is>
          <t>5998312745243</t>
        </is>
      </c>
      <c r="G1369" s="4" t="inlineStr">
        <is>
          <t>Széles kínálatunkban könnyedén megtalálhatja az igényeinek megfelelő  kialakítással rendelkező sarukat! 
A réz alapanyagú KSD 6,3-0,8/Cu egy szigeteletlen kábel sarú, amely 6,3 x 0,8 mm-es méretben kapható. Válassza a minőségi termékeket és rendeljen webáruházunkból.</t>
        </is>
      </c>
    </row>
    <row r="1370">
      <c r="A1370" s="3" t="inlineStr">
        <is>
          <t>KSH 4,8-0,5/Cu</t>
        </is>
      </c>
      <c r="B1370" s="2" t="inlineStr">
        <is>
          <t>Home KSH 4,8-0,5/Cu kábelsaru, réz</t>
        </is>
      </c>
      <c r="C1370" s="1" t="n">
        <v>25.0</v>
      </c>
      <c r="D1370" s="7" t="n">
        <f>HYPERLINK("https://www.somogyi.hu/product/home-ksh-4-8-0-5-cu-kabelsaru-rez-ksh-4-8-0-5-cu-5130","https://www.somogyi.hu/product/home-ksh-4-8-0-5-cu-kabelsaru-rez-ksh-4-8-0-5-cu-5130")</f>
        <v>0.0</v>
      </c>
      <c r="E1370" s="7" t="n">
        <f>HYPERLINK("https://www.somogyi.hu/data/img/product_main_images/small/05130.jpg","https://www.somogyi.hu/data/img/product_main_images/small/05130.jpg")</f>
        <v>0.0</v>
      </c>
      <c r="F1370" s="2" t="inlineStr">
        <is>
          <t>5998312745182</t>
        </is>
      </c>
      <c r="G1370" s="4" t="inlineStr">
        <is>
          <t>Széles kínálatunkban könnyedén megtalálhatja az igényeinek megfelelő  kialakítással rendelkező sarukat! 
A réz alapanyagú KSH 4,8-0,5/Cu egy szigeteletlen kábel sarú, amely 4,8 x 0,5 mm-es méretben kapható. Válassza a minőségi termékeket és rendeljen webáruházunkból.</t>
        </is>
      </c>
    </row>
    <row r="1371">
      <c r="A1371" s="3" t="inlineStr">
        <is>
          <t>KSH 6,3-0,5/Cu</t>
        </is>
      </c>
      <c r="B1371" s="2" t="inlineStr">
        <is>
          <t>Home KSH 6,3-0,5/Cu kábelsaru, réz</t>
        </is>
      </c>
      <c r="C1371" s="1" t="n">
        <v>29.0</v>
      </c>
      <c r="D1371" s="7" t="n">
        <f>HYPERLINK("https://www.somogyi.hu/product/home-ksh-6-3-0-5-cu-kabelsaru-rez-ksh-6-3-0-5-cu-5132","https://www.somogyi.hu/product/home-ksh-6-3-0-5-cu-kabelsaru-rez-ksh-6-3-0-5-cu-5132")</f>
        <v>0.0</v>
      </c>
      <c r="E1371" s="7" t="n">
        <f>HYPERLINK("https://www.somogyi.hu/data/img/product_main_images/small/05132.jpg","https://www.somogyi.hu/data/img/product_main_images/small/05132.jpg")</f>
        <v>0.0</v>
      </c>
      <c r="F1371" s="2" t="inlineStr">
        <is>
          <t>5998312745205</t>
        </is>
      </c>
      <c r="G1371" s="4" t="inlineStr">
        <is>
          <t>Széles kínálatunkban könnyedén megtalálhatja az igényeinek megfelelő  kialakítással rendelkező sarukat! 
A réz alapanyagú KSH 6,3-0,5/Cu egy szigeteletlen kábel sarú, amely 6,3 x 0,5 mm-es méretben kapható. Válassza a minőségi termékeket és rendeljen webáruházunkból.</t>
        </is>
      </c>
    </row>
    <row r="1372">
      <c r="A1372" s="6" t="inlineStr">
        <is>
          <t xml:space="preserve">   Audio-video kiegészítők / Biztosítékfoglalat</t>
        </is>
      </c>
      <c r="B1372" s="6" t="inlineStr">
        <is>
          <t/>
        </is>
      </c>
      <c r="C1372" s="6" t="inlineStr">
        <is>
          <t/>
        </is>
      </c>
      <c r="D1372" s="6" t="inlineStr">
        <is>
          <t/>
        </is>
      </c>
      <c r="E1372" s="6" t="inlineStr">
        <is>
          <t/>
        </is>
      </c>
      <c r="F1372" s="6" t="inlineStr">
        <is>
          <t/>
        </is>
      </c>
      <c r="G1372" s="6" t="inlineStr">
        <is>
          <t/>
        </is>
      </c>
    </row>
    <row r="1373">
      <c r="A1373" s="3" t="inlineStr">
        <is>
          <t>BF 52B</t>
        </is>
      </c>
      <c r="B1373" s="2" t="inlineStr">
        <is>
          <t>Home BF 52B biztosítékfoglalat, 5x20 mm, kézzel nyitható</t>
        </is>
      </c>
      <c r="C1373" s="1" t="n">
        <v>369.0</v>
      </c>
      <c r="D1373" s="7" t="n">
        <f>HYPERLINK("https://www.somogyi.hu/product/home-bf-52b-biztositekfoglalat-5x20-mm-kezzel-nyithato-bf-52b-1718","https://www.somogyi.hu/product/home-bf-52b-biztositekfoglalat-5x20-mm-kezzel-nyithato-bf-52b-1718")</f>
        <v>0.0</v>
      </c>
      <c r="E1373" s="7" t="n">
        <f>HYPERLINK("https://www.somogyi.hu/data/img/product_main_images/small/01718.jpg","https://www.somogyi.hu/data/img/product_main_images/small/01718.jpg")</f>
        <v>0.0</v>
      </c>
      <c r="F1373" s="2" t="inlineStr">
        <is>
          <t>5998312701409</t>
        </is>
      </c>
      <c r="G1373" s="4" t="inlineStr">
        <is>
          <t>A BF 52B egy kézzel nyitható beépíthető biztosítékfoglalat. Mérete: 5 x 20 cm. válassza a minőségi termékeket és rendeljen webáruházunkból.</t>
        </is>
      </c>
    </row>
    <row r="1374">
      <c r="A1374" s="3" t="inlineStr">
        <is>
          <t>BF 53L</t>
        </is>
      </c>
      <c r="B1374" s="2" t="inlineStr">
        <is>
          <t>Home BF 53L biztosítékfoglalat, 5x20 mm, csavaros rögzítésű</t>
        </is>
      </c>
      <c r="C1374" s="1" t="n">
        <v>229.0</v>
      </c>
      <c r="D1374" s="7" t="n">
        <f>HYPERLINK("https://www.somogyi.hu/product/home-bf-53l-biztositekfoglalat-5x20-mm-csavaros-rogzitesu-bf-53l-3272","https://www.somogyi.hu/product/home-bf-53l-biztositekfoglalat-5x20-mm-csavaros-rogzitesu-bf-53l-3272")</f>
        <v>0.0</v>
      </c>
      <c r="E1374" s="7" t="n">
        <f>HYPERLINK("https://www.somogyi.hu/data/img/product_main_images/small/03272.jpg","https://www.somogyi.hu/data/img/product_main_images/small/03272.jpg")</f>
        <v>0.0</v>
      </c>
      <c r="F1374" s="2" t="inlineStr">
        <is>
          <t>5998312735961</t>
        </is>
      </c>
      <c r="G1374" s="4" t="inlineStr">
        <is>
          <t>A BF 53L egy csavaros kialakítással rendelkező lengő biztosítékfoglalat. Mérete: 5 x 20 cm. Válassza a minőségi termékeket és rendeljen webáruházunkból.</t>
        </is>
      </c>
    </row>
    <row r="1375">
      <c r="A1375" s="6" t="inlineStr">
        <is>
          <t xml:space="preserve">   Audio-video kiegészítők / Üvegcsöves biztosíték</t>
        </is>
      </c>
      <c r="B1375" s="6" t="inlineStr">
        <is>
          <t/>
        </is>
      </c>
      <c r="C1375" s="6" t="inlineStr">
        <is>
          <t/>
        </is>
      </c>
      <c r="D1375" s="6" t="inlineStr">
        <is>
          <t/>
        </is>
      </c>
      <c r="E1375" s="6" t="inlineStr">
        <is>
          <t/>
        </is>
      </c>
      <c r="F1375" s="6" t="inlineStr">
        <is>
          <t/>
        </is>
      </c>
      <c r="G1375" s="6" t="inlineStr">
        <is>
          <t/>
        </is>
      </c>
    </row>
    <row r="1376">
      <c r="A1376" s="3" t="inlineStr">
        <is>
          <t>F3,15 A</t>
        </is>
      </c>
      <c r="B1376" s="2" t="inlineStr">
        <is>
          <t>Home F3,15 A biztosítékbetét, 5x20 mm, gyors, 3,15 A</t>
        </is>
      </c>
      <c r="C1376" s="1" t="n">
        <v>49.0</v>
      </c>
      <c r="D1376" s="7" t="n">
        <f>HYPERLINK("https://www.somogyi.hu/product/home-f3-15-a-biztositekbetet-5x20-mm-gyors-3-15-a-f3-15-a-1747","https://www.somogyi.hu/product/home-f3-15-a-biztositekbetet-5x20-mm-gyors-3-15-a-f3-15-a-1747")</f>
        <v>0.0</v>
      </c>
      <c r="E1376" s="7" t="n">
        <f>HYPERLINK("https://www.somogyi.hu/data/img/product_main_images/small/01747.jpg","https://www.somogyi.hu/data/img/product_main_images/small/01747.jpg")</f>
        <v>0.0</v>
      </c>
      <c r="F1376" s="2" t="inlineStr">
        <is>
          <t>5998312701997</t>
        </is>
      </c>
      <c r="G1376" s="4" t="inlineStr">
        <is>
          <t>Széles kínálatunkban könnyedén megtalálhatja az igényeinek megfelelő kialakítással rendelkező biztosítékokat! 
Az F3,15 A típusú biztosíték a következő tulajdonsággal rendelkezik: 5 x 20 mm gyors. Válassza a minőségi termékeket és rendeljen webáruházunkból.</t>
        </is>
      </c>
    </row>
    <row r="1377">
      <c r="A1377" s="3" t="inlineStr">
        <is>
          <t>T6,3 A</t>
        </is>
      </c>
      <c r="B1377" s="2" t="inlineStr">
        <is>
          <t>Home T6,3 A biztosítékbetét, 5x20 mm, lomha, 6,3 A</t>
        </is>
      </c>
      <c r="C1377" s="1" t="n">
        <v>85.0</v>
      </c>
      <c r="D1377" s="7" t="n">
        <f>HYPERLINK("https://www.somogyi.hu/product/home-t6-3-a-biztositekbetet-5x20-mm-lomha-6-3-a-t6-3-a-1916","https://www.somogyi.hu/product/home-t6-3-a-biztositekbetet-5x20-mm-lomha-6-3-a-t6-3-a-1916")</f>
        <v>0.0</v>
      </c>
      <c r="E1377" s="7" t="n">
        <f>HYPERLINK("https://www.somogyi.hu/data/img/product_main_images/small/01916.jpg","https://www.somogyi.hu/data/img/product_main_images/small/01916.jpg")</f>
        <v>0.0</v>
      </c>
      <c r="F1377" s="2" t="inlineStr">
        <is>
          <t>5998312704813</t>
        </is>
      </c>
      <c r="G1377" s="4" t="inlineStr">
        <is>
          <t>Széles kínálatunkban könnyedén megtalálhatja az igényeinek megfelelő kialakítással rendelkező biztosítékokat! 
A T6,3 A típusú biztosíték a következő tulajdonsággal rendelkezik: 5 x 20 mm lomha. Válassza a minőségi termékeket és rendeljen webáruházunkból.</t>
        </is>
      </c>
    </row>
    <row r="1378">
      <c r="A1378" s="3" t="inlineStr">
        <is>
          <t>F4 A</t>
        </is>
      </c>
      <c r="B1378" s="2" t="inlineStr">
        <is>
          <t>Home F4 A biztosítékbetét, 5x20 mm, gyors, 4 A</t>
        </is>
      </c>
      <c r="C1378" s="1" t="n">
        <v>49.0</v>
      </c>
      <c r="D1378" s="7" t="n">
        <f>HYPERLINK("https://www.somogyi.hu/product/home-f4-a-biztositekbetet-5x20-mm-gyors-4-a-f4-a-1749","https://www.somogyi.hu/product/home-f4-a-biztositekbetet-5x20-mm-gyors-4-a-f4-a-1749")</f>
        <v>0.0</v>
      </c>
      <c r="E1378" s="7" t="n">
        <f>HYPERLINK("https://www.somogyi.hu/data/img/product_main_images/small/01749.jpg","https://www.somogyi.hu/data/img/product_main_images/small/01749.jpg")</f>
        <v>0.0</v>
      </c>
      <c r="F1378" s="2" t="inlineStr">
        <is>
          <t>5998312702017</t>
        </is>
      </c>
      <c r="G1378" s="4" t="inlineStr">
        <is>
          <t>Széles kínálatunkban könnyedén megtalálhatja az igényeinek megfelelő kialakítással rendelkező biztosítékokat! 
Az F4 A típusú biztosíték a következő tulajdonsággal rendelkezik: 5 x 20 mm gyors. Válassza a minőségi termékeket és rendeljen webáruházunkból.</t>
        </is>
      </c>
    </row>
    <row r="1379">
      <c r="A1379" s="3" t="inlineStr">
        <is>
          <t>F5 A</t>
        </is>
      </c>
      <c r="B1379" s="2" t="inlineStr">
        <is>
          <t>Home F5 A biztosítékbetét, 5x20 mm, gyors, 5 A</t>
        </is>
      </c>
      <c r="C1379" s="1" t="n">
        <v>49.0</v>
      </c>
      <c r="D1379" s="7" t="n">
        <f>HYPERLINK("https://www.somogyi.hu/product/home-f5-a-biztositekbetet-5x20-mm-gyors-5-a-f5-a-1751","https://www.somogyi.hu/product/home-f5-a-biztositekbetet-5x20-mm-gyors-5-a-f5-a-1751")</f>
        <v>0.0</v>
      </c>
      <c r="E1379" s="7" t="n">
        <f>HYPERLINK("https://www.somogyi.hu/data/img/product_main_images/small/01751.jpg","https://www.somogyi.hu/data/img/product_main_images/small/01751.jpg")</f>
        <v>0.0</v>
      </c>
      <c r="F1379" s="2" t="inlineStr">
        <is>
          <t>5998312702031</t>
        </is>
      </c>
      <c r="G1379" s="4" t="inlineStr">
        <is>
          <t>Széles kínálatunkban könnyedén megtalálhatja az igényeinek megfelelő kialakítással rendelkező biztosítékokat! 
Az F5 A típusú biztosíték a következő tulajdonsággal rendelkezik: 5 x 20 mm gyors. Válassza a minőségi termékeket és rendeljen webáruházunkból.</t>
        </is>
      </c>
    </row>
    <row r="1380">
      <c r="A1380" s="3" t="inlineStr">
        <is>
          <t>F500 MA</t>
        </is>
      </c>
      <c r="B1380" s="2" t="inlineStr">
        <is>
          <t>Home F500 MA biztosítékbetét, 5x20 mm, gyors, 500 mA</t>
        </is>
      </c>
      <c r="C1380" s="1" t="n">
        <v>49.0</v>
      </c>
      <c r="D1380" s="7" t="n">
        <f>HYPERLINK("https://www.somogyi.hu/product/home-f500-ma-biztositekbetet-5x20-mm-gyors-500-ma-f500-ma-1752","https://www.somogyi.hu/product/home-f500-ma-biztositekbetet-5x20-mm-gyors-500-ma-f500-ma-1752")</f>
        <v>0.0</v>
      </c>
      <c r="E1380" s="7" t="n">
        <f>HYPERLINK("https://www.somogyi.hu/data/img/product_main_images/small/01752.jpg","https://www.somogyi.hu/data/img/product_main_images/small/01752.jpg")</f>
        <v>0.0</v>
      </c>
      <c r="F1380" s="2" t="inlineStr">
        <is>
          <t>5998312702048</t>
        </is>
      </c>
      <c r="G1380" s="4" t="inlineStr">
        <is>
          <t>Széles kínálatunkban könnyedén megtalálhatja az igényeinek megfelelő kialakítással rendelkező biztosítékokat! 
Az F500 MA típusú biztosíték a következő tulajdonsággal rendelkezik: 5 x 20 mm gyors. Válassza a minőségi termékeket és rendeljen webáruházunkból.</t>
        </is>
      </c>
    </row>
    <row r="1381">
      <c r="A1381" s="3" t="inlineStr">
        <is>
          <t>T4 A</t>
        </is>
      </c>
      <c r="B1381" s="2" t="inlineStr">
        <is>
          <t>Home T4 A biztosítékbetét, 5x20 mm, lomha, 4 A</t>
        </is>
      </c>
      <c r="C1381" s="1" t="n">
        <v>85.0</v>
      </c>
      <c r="D1381" s="7" t="n">
        <f>HYPERLINK("https://www.somogyi.hu/product/home-t4-a-biztositekbetet-5x20-mm-lomha-4-a-t4-a-1914","https://www.somogyi.hu/product/home-t4-a-biztositekbetet-5x20-mm-lomha-4-a-t4-a-1914")</f>
        <v>0.0</v>
      </c>
      <c r="E1381" s="7" t="n">
        <f>HYPERLINK("https://www.somogyi.hu/data/img/product_main_images/small/01914.jpg","https://www.somogyi.hu/data/img/product_main_images/small/01914.jpg")</f>
        <v>0.0</v>
      </c>
      <c r="F1381" s="2" t="inlineStr">
        <is>
          <t>5998312704783</t>
        </is>
      </c>
      <c r="G1381" s="4" t="inlineStr">
        <is>
          <t>Széles kínálatunkban könnyedén megtalálhatja az igényeinek megfelelő kialakítással rendelkező biztosítékokat! 
A T4 A típusú biztosíték a következő tulajdonsággal rendelkezik: 5 x 20 mm lomha. Válassza a minőségi termékeket és rendeljen webáruházunkból.</t>
        </is>
      </c>
    </row>
    <row r="1382">
      <c r="A1382" s="3" t="inlineStr">
        <is>
          <t>T3,15 A</t>
        </is>
      </c>
      <c r="B1382" s="2" t="inlineStr">
        <is>
          <t>Home T3,15 A biztosítékbetét, 5x20 mm, lomha, 3,15 A</t>
        </is>
      </c>
      <c r="C1382" s="1" t="n">
        <v>85.0</v>
      </c>
      <c r="D1382" s="7" t="n">
        <f>HYPERLINK("https://www.somogyi.hu/product/home-t3-15-a-biztositekbetet-5x20-mm-lomha-3-15-a-t3-15-a-1913","https://www.somogyi.hu/product/home-t3-15-a-biztositekbetet-5x20-mm-lomha-3-15-a-t3-15-a-1913")</f>
        <v>0.0</v>
      </c>
      <c r="E1382" s="7" t="n">
        <f>HYPERLINK("https://www.somogyi.hu/data/img/product_main_images/small/01913.jpg","https://www.somogyi.hu/data/img/product_main_images/small/01913.jpg")</f>
        <v>0.0</v>
      </c>
      <c r="F1382" s="2" t="inlineStr">
        <is>
          <t>5998312704776</t>
        </is>
      </c>
      <c r="G1382" s="4" t="inlineStr">
        <is>
          <t>Széles kínálatunkban könnyedén megtalálhatja az igényeinek megfelelő kialakítással rendelkező biztosítékokat! 
A T3,15 A típusú biztosíték a következő tulajdonsággal rendelkezik: 5 x 20 mm lomha. Válassza a minőségi termékeket és rendeljen webáruházunkból.</t>
        </is>
      </c>
    </row>
    <row r="1383">
      <c r="A1383" s="3" t="inlineStr">
        <is>
          <t>F1,6 A</t>
        </is>
      </c>
      <c r="B1383" s="2" t="inlineStr">
        <is>
          <t>Home F1,6 A biztosítékbetét, 5x20 mm, gyors, 1,6 A</t>
        </is>
      </c>
      <c r="C1383" s="1" t="n">
        <v>49.0</v>
      </c>
      <c r="D1383" s="7" t="n">
        <f>HYPERLINK("https://www.somogyi.hu/product/home-f1-6-a-biztositekbetet-5x20-mm-gyors-1-6-a-f1-6-a-1736","https://www.somogyi.hu/product/home-f1-6-a-biztositekbetet-5x20-mm-gyors-1-6-a-f1-6-a-1736")</f>
        <v>0.0</v>
      </c>
      <c r="E1383" s="7" t="n">
        <f>HYPERLINK("https://www.somogyi.hu/data/img/product_main_images/small/01736.jpg","https://www.somogyi.hu/data/img/product_main_images/small/01736.jpg")</f>
        <v>0.0</v>
      </c>
      <c r="F1383" s="2" t="inlineStr">
        <is>
          <t>5998312701881</t>
        </is>
      </c>
      <c r="G1383"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84">
      <c r="A1384" s="3" t="inlineStr">
        <is>
          <t>F6,3 A</t>
        </is>
      </c>
      <c r="B1384" s="2" t="inlineStr">
        <is>
          <t>Home F6,3 A biztosítékbetét, 5x20 mm, gyors, 6,3 A</t>
        </is>
      </c>
      <c r="C1384" s="1" t="n">
        <v>49.0</v>
      </c>
      <c r="D1384" s="7" t="n">
        <f>HYPERLINK("https://www.somogyi.hu/product/home-f6-3-a-biztositekbetet-5x20-mm-gyors-6-3-a-f6-3-a-1733","https://www.somogyi.hu/product/home-f6-3-a-biztositekbetet-5x20-mm-gyors-6-3-a-f6-3-a-1733")</f>
        <v>0.0</v>
      </c>
      <c r="E1384" s="7" t="n">
        <f>HYPERLINK("https://www.somogyi.hu/data/img/product_main_images/small/01733.jpg","https://www.somogyi.hu/data/img/product_main_images/small/01733.jpg")</f>
        <v>0.0</v>
      </c>
      <c r="F1384" s="2" t="inlineStr">
        <is>
          <t>5998312701843</t>
        </is>
      </c>
      <c r="G1384" s="4" t="inlineStr">
        <is>
          <t>Széles kínálatunkban könnyedén megtalálhatja az igényeinek megfelelő kialakítással rendelkező biztosítékokat! 
Az F6,3 A típusú biztosíték a következő tulajdonsággal rendelkezik: 5 x 20 mm gyors. Válassza a minőségi termékeket és rendeljen webáruházunkból.</t>
        </is>
      </c>
    </row>
    <row r="1385">
      <c r="A1385" s="3" t="inlineStr">
        <is>
          <t>F10 A</t>
        </is>
      </c>
      <c r="B1385" s="2" t="inlineStr">
        <is>
          <t>Home F10 A biztosítékbetét, 5x20 mm, gyors, 10 A</t>
        </is>
      </c>
      <c r="C1385" s="1" t="n">
        <v>49.0</v>
      </c>
      <c r="D1385" s="7" t="n">
        <f>HYPERLINK("https://www.somogyi.hu/product/home-f10-a-biztositekbetet-5x20-mm-gyors-10-a-f10-a-1737","https://www.somogyi.hu/product/home-f10-a-biztositekbetet-5x20-mm-gyors-10-a-f10-a-1737")</f>
        <v>0.0</v>
      </c>
      <c r="E1385" s="7" t="n">
        <f>HYPERLINK("https://www.somogyi.hu/data/img/product_main_images/small/01737.jpg","https://www.somogyi.hu/data/img/product_main_images/small/01737.jpg")</f>
        <v>0.0</v>
      </c>
      <c r="F1385" s="2" t="inlineStr">
        <is>
          <t>5998312701898</t>
        </is>
      </c>
      <c r="G1385" s="4" t="inlineStr">
        <is>
          <t>Széles kínálatunkban könnyedén megtalálhatja az igényeinek megfelelő kialakítással rendelkező biztosítékokat! 
Az F10 A típusú biztosíték a következő tulajdonsággal rendelkezik: 5 x 20 mm gyors. Válassza a minőségi termékeket és rendeljen webáruházunkból.</t>
        </is>
      </c>
    </row>
    <row r="1386">
      <c r="A1386" s="3" t="inlineStr">
        <is>
          <t>T2 A</t>
        </is>
      </c>
      <c r="B1386" s="2" t="inlineStr">
        <is>
          <t>Home T2 A biztosítékbetét, 5x20 mm, lomha, 2 A</t>
        </is>
      </c>
      <c r="C1386" s="1" t="n">
        <v>85.0</v>
      </c>
      <c r="D1386" s="7" t="n">
        <f>HYPERLINK("https://www.somogyi.hu/product/home-t2-a-biztositekbetet-5x20-mm-lomha-2-a-t2-a-1911","https://www.somogyi.hu/product/home-t2-a-biztositekbetet-5x20-mm-lomha-2-a-t2-a-1911")</f>
        <v>0.0</v>
      </c>
      <c r="E1386" s="7" t="n">
        <f>HYPERLINK("https://www.somogyi.hu/data/img/product_main_images/small/01911.jpg","https://www.somogyi.hu/data/img/product_main_images/small/01911.jpg")</f>
        <v>0.0</v>
      </c>
      <c r="F1386" s="2" t="inlineStr">
        <is>
          <t>5998312704745</t>
        </is>
      </c>
      <c r="G1386" s="4" t="inlineStr">
        <is>
          <t>Széles kínálatunkban könnyedén megtalálhatja az igényeinek megfelelő kialakítással rendelkező biztosítékokat! 
Az T2 A típusú biztosíték a következő tulajdonsággal rendelkezik: 5 x 20 mm lomha. Válassza a minőségi termékeket és rendeljen webáruházunkból.</t>
        </is>
      </c>
    </row>
    <row r="1387">
      <c r="A1387" s="3" t="inlineStr">
        <is>
          <t>F100 MA</t>
        </is>
      </c>
      <c r="B1387" s="2" t="inlineStr">
        <is>
          <t>Home F100 MA biztosítékbetét, 5x20 mm, gyors, 100 mA</t>
        </is>
      </c>
      <c r="C1387" s="1" t="n">
        <v>49.0</v>
      </c>
      <c r="D1387" s="7" t="n">
        <f>HYPERLINK("https://www.somogyi.hu/product/home-f100-ma-biztositekbetet-5x20-mm-gyors-100-ma-f100-ma-1738","https://www.somogyi.hu/product/home-f100-ma-biztositekbetet-5x20-mm-gyors-100-ma-f100-ma-1738")</f>
        <v>0.0</v>
      </c>
      <c r="E1387" s="7" t="n">
        <f>HYPERLINK("https://www.somogyi.hu/data/img/product_main_images/small/01738.jpg","https://www.somogyi.hu/data/img/product_main_images/small/01738.jpg")</f>
        <v>0.0</v>
      </c>
      <c r="F1387" s="2" t="inlineStr">
        <is>
          <t>5998312701904</t>
        </is>
      </c>
      <c r="G1387" s="4" t="inlineStr">
        <is>
          <t>Széles kínálatunkban könnyedén megtalálhatja az igényeinek megfelelő kialakítással rendelkező biztosítékokat! 
Az F100 MA típusú biztosíték a következő tulajdonsággal rendelkezik: 5 x 20 mm gyors. Válassza a minőségi termékeket és rendeljen webáruházunkból.</t>
        </is>
      </c>
    </row>
    <row r="1388">
      <c r="A1388" s="3" t="inlineStr">
        <is>
          <t>F2 A</t>
        </is>
      </c>
      <c r="B1388" s="2" t="inlineStr">
        <is>
          <t>Home F2 A biztosítékbetét, 5x20 mm, gyors, 2 A</t>
        </is>
      </c>
      <c r="C1388" s="1" t="n">
        <v>49.0</v>
      </c>
      <c r="D1388" s="7" t="n">
        <f>HYPERLINK("https://www.somogyi.hu/product/home-f2-a-biztositekbetet-5x20-mm-gyors-2-a-f2-a-1743","https://www.somogyi.hu/product/home-f2-a-biztositekbetet-5x20-mm-gyors-2-a-f2-a-1743")</f>
        <v>0.0</v>
      </c>
      <c r="E1388" s="7" t="n">
        <f>HYPERLINK("https://www.somogyi.hu/data/img/product_main_images/small/01743.jpg","https://www.somogyi.hu/data/img/product_main_images/small/01743.jpg")</f>
        <v>0.0</v>
      </c>
      <c r="F1388" s="2" t="inlineStr">
        <is>
          <t>5998312701959</t>
        </is>
      </c>
      <c r="G1388" s="4" t="inlineStr">
        <is>
          <t>Széles kínálatunkban könnyedén megtalálhatja az igényeinek megfelelő kialakítással rendelkező biztosítékokat! 
Az F2 A típusú biztosíték a következő tulajdonsággal rendelkezik: 5 x 20 mm gyors. Válassza a minőségi termékeket és rendeljen webáruházunkból.</t>
        </is>
      </c>
    </row>
    <row r="1389">
      <c r="A1389" s="3" t="inlineStr">
        <is>
          <t>F1 A</t>
        </is>
      </c>
      <c r="B1389" s="2" t="inlineStr">
        <is>
          <t>Home F1 A biztosítékbetét, 5x20 mm, gyors, 1 A</t>
        </is>
      </c>
      <c r="C1389" s="1" t="n">
        <v>49.0</v>
      </c>
      <c r="D1389" s="7" t="n">
        <f>HYPERLINK("https://www.somogyi.hu/product/home-f1-a-biztositekbetet-5x20-mm-gyors-1-a-f1-a-1734","https://www.somogyi.hu/product/home-f1-a-biztositekbetet-5x20-mm-gyors-1-a-f1-a-1734")</f>
        <v>0.0</v>
      </c>
      <c r="E1389" s="7" t="n">
        <f>HYPERLINK("https://www.somogyi.hu/data/img/product_main_images/small/01734.jpg","https://www.somogyi.hu/data/img/product_main_images/small/01734.jpg")</f>
        <v>0.0</v>
      </c>
      <c r="F1389" s="2" t="inlineStr">
        <is>
          <t>5998312701867</t>
        </is>
      </c>
      <c r="G1389" s="4" t="inlineStr">
        <is>
          <t>Széles kínálatunkban könnyedén megtalálhatja az igényeinek megfelelő kialakítással rendelkező biztosítékokat! 
Az F1 A típusú biztosíték a következő tulajdonsággal rendelkezik: 5 x 20 mm gyors. Válassza a minőségi termékeket és rendeljen webáruházunkból.</t>
        </is>
      </c>
    </row>
    <row r="1390">
      <c r="A1390" s="3" t="inlineStr">
        <is>
          <t>F2,5 A</t>
        </is>
      </c>
      <c r="B1390" s="2" t="inlineStr">
        <is>
          <t>Home F2,5 A biztosítékbetét, 5x20 mm, gyors, 2,5 A</t>
        </is>
      </c>
      <c r="C1390" s="1" t="n">
        <v>49.0</v>
      </c>
      <c r="D1390" s="7" t="n">
        <f>HYPERLINK("https://www.somogyi.hu/product/home-f2-5-a-biztositekbetet-5x20-mm-gyors-2-5-a-f2-5-a-1744","https://www.somogyi.hu/product/home-f2-5-a-biztositekbetet-5x20-mm-gyors-2-5-a-f2-5-a-1744")</f>
        <v>0.0</v>
      </c>
      <c r="E1390" s="7" t="n">
        <f>HYPERLINK("https://www.somogyi.hu/data/img/product_main_images/small/01744.jpg","https://www.somogyi.hu/data/img/product_main_images/small/01744.jpg")</f>
        <v>0.0</v>
      </c>
      <c r="F1390" s="2" t="inlineStr">
        <is>
          <t>5998312701966</t>
        </is>
      </c>
      <c r="G1390" s="4" t="inlineStr">
        <is>
          <t>Széles kínálatunkban könnyedén megtalálhatja az igényeinek megfelelő kialakítással rendelkező biztosítékokat! 
Az F2,5 A típusú biztosíték a következő tulajdonsággal rendelkezik: 5 x 20 mm gyors. Válassza a minőségi termékeket és rendeljen webáruházunkból.</t>
        </is>
      </c>
    </row>
    <row r="1391">
      <c r="A1391" s="3" t="inlineStr">
        <is>
          <t>F8 A</t>
        </is>
      </c>
      <c r="B1391" s="2" t="inlineStr">
        <is>
          <t>Home F8 A biztosítékbetét, 5x20 mm, gyors, 8 A</t>
        </is>
      </c>
      <c r="C1391" s="1" t="n">
        <v>49.0</v>
      </c>
      <c r="D1391" s="7" t="n">
        <f>HYPERLINK("https://www.somogyi.hu/product/home-f8-a-biztositekbetet-5x20-mm-gyors-8-a-f8-a-1754","https://www.somogyi.hu/product/home-f8-a-biztositekbetet-5x20-mm-gyors-8-a-f8-a-1754")</f>
        <v>0.0</v>
      </c>
      <c r="E1391" s="7" t="n">
        <f>HYPERLINK("https://www.somogyi.hu/data/img/product_main_images/small/01754.jpg","https://www.somogyi.hu/data/img/product_main_images/small/01754.jpg")</f>
        <v>0.0</v>
      </c>
      <c r="F1391" s="2" t="inlineStr">
        <is>
          <t>5998312702079</t>
        </is>
      </c>
      <c r="G1391" s="4" t="inlineStr">
        <is>
          <t>Széles kínálatunkban könnyedén megtalálhatja az igényeinek megfelelő kialakítással rendelkező biztosítékokat! 
Az F8 A típusú biztosíték a következő tulajdonsággal rendelkezik: 5 x 20 mm gyors. Válassza a minőségi termékeket és rendeljen webáruházunkból.</t>
        </is>
      </c>
    </row>
    <row r="1392">
      <c r="A1392" s="3" t="inlineStr">
        <is>
          <t>T500 MA</t>
        </is>
      </c>
      <c r="B1392" s="2" t="inlineStr">
        <is>
          <t>Home T500 MA biztosítékbetét, 5x20 mm, lomha, 500 mA</t>
        </is>
      </c>
      <c r="C1392" s="1" t="n">
        <v>85.0</v>
      </c>
      <c r="D1392" s="7" t="n">
        <f>HYPERLINK("https://www.somogyi.hu/product/home-t500-ma-biztositekbetet-5x20-mm-lomha-500-ma-t500-ma-2016","https://www.somogyi.hu/product/home-t500-ma-biztositekbetet-5x20-mm-lomha-500-ma-t500-ma-2016")</f>
        <v>0.0</v>
      </c>
      <c r="E1392" s="7" t="n">
        <f>HYPERLINK("https://www.somogyi.hu/data/img/product_main_images/small/02016.jpg","https://www.somogyi.hu/data/img/product_main_images/small/02016.jpg")</f>
        <v>0.0</v>
      </c>
      <c r="F1392" s="2" t="inlineStr">
        <is>
          <t>5998312718223</t>
        </is>
      </c>
      <c r="G1392" s="4" t="inlineStr">
        <is>
          <t>Széles kínálatunkban könnyedén megtalálhatja az igényeinek megfelelő kialakítással rendelkező biztosítékokat! 
A T500 MA típusú biztosíték a következő tulajdonsággal rendelkezik: 5 x 20 mm lomha. Válassza a minőségi termékeket és rendeljen webáruházunkból.</t>
        </is>
      </c>
    </row>
    <row r="1393">
      <c r="A1393" s="3" t="inlineStr">
        <is>
          <t>F16 A</t>
        </is>
      </c>
      <c r="B1393" s="2" t="inlineStr">
        <is>
          <t>Home F16 A biztosítékbetét, 5x20 mm, gyors, 16 A</t>
        </is>
      </c>
      <c r="C1393" s="1" t="n">
        <v>49.0</v>
      </c>
      <c r="D1393" s="7" t="n">
        <f>HYPERLINK("https://www.somogyi.hu/product/home-f16-a-biztositekbetet-5x20-mm-gyors-16-a-f16-a-1741","https://www.somogyi.hu/product/home-f16-a-biztositekbetet-5x20-mm-gyors-16-a-f16-a-1741")</f>
        <v>0.0</v>
      </c>
      <c r="E1393" s="7" t="n">
        <f>HYPERLINK("https://www.somogyi.hu/data/img/product_main_images/small/01741.jpg","https://www.somogyi.hu/data/img/product_main_images/small/01741.jpg")</f>
        <v>0.0</v>
      </c>
      <c r="F1393" s="2" t="inlineStr">
        <is>
          <t>5998312701935</t>
        </is>
      </c>
      <c r="G1393"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94">
      <c r="A1394" s="3" t="inlineStr">
        <is>
          <t>T1 A</t>
        </is>
      </c>
      <c r="B1394" s="2" t="inlineStr">
        <is>
          <t>Home T1 A biztosítékbetét, 5x20 mm, lomha, 1 A</t>
        </is>
      </c>
      <c r="C1394" s="1" t="n">
        <v>85.0</v>
      </c>
      <c r="D1394" s="7" t="n">
        <f>HYPERLINK("https://www.somogyi.hu/product/home-t1-a-biztositekbetet-5x20-mm-lomha-1-a-t1-a-1908","https://www.somogyi.hu/product/home-t1-a-biztositekbetet-5x20-mm-lomha-1-a-t1-a-1908")</f>
        <v>0.0</v>
      </c>
      <c r="E1394" s="7" t="n">
        <f>HYPERLINK("https://www.somogyi.hu/data/img/product_main_images/small/01908.jpg","https://www.somogyi.hu/data/img/product_main_images/small/01908.jpg")</f>
        <v>0.0</v>
      </c>
      <c r="F1394" s="2" t="inlineStr">
        <is>
          <t>5998312704714</t>
        </is>
      </c>
      <c r="G1394" s="4" t="inlineStr">
        <is>
          <t>Széles kínálatunkban könnyedén megtalálhatja az igényeinek megfelelő kialakítással rendelkező biztosítékokat! 
Az T1 A típusú biztosíték a következő tulajdonsággal rendelkezik: 5 x 20 mm lomha. Válassza a minőségi termékeket és rendeljen webáruházunkból.</t>
        </is>
      </c>
    </row>
    <row r="1395">
      <c r="A1395" s="6" t="inlineStr">
        <is>
          <t xml:space="preserve">   Audio-video kiegészítők / Kapcsoló, nyomógomb</t>
        </is>
      </c>
      <c r="B1395" s="6" t="inlineStr">
        <is>
          <t/>
        </is>
      </c>
      <c r="C1395" s="6" t="inlineStr">
        <is>
          <t/>
        </is>
      </c>
      <c r="D1395" s="6" t="inlineStr">
        <is>
          <t/>
        </is>
      </c>
      <c r="E1395" s="6" t="inlineStr">
        <is>
          <t/>
        </is>
      </c>
      <c r="F1395" s="6" t="inlineStr">
        <is>
          <t/>
        </is>
      </c>
      <c r="G1395" s="6" t="inlineStr">
        <is>
          <t/>
        </is>
      </c>
    </row>
    <row r="1396">
      <c r="A1396" s="3" t="inlineStr">
        <is>
          <t>ST 1/BK</t>
        </is>
      </c>
      <c r="B1396" s="2" t="inlineStr">
        <is>
          <t>Home ST 1/BK mini billenőkapcsoló, 1 áramkör - 2 állás, 250 V, 3 A, fekete</t>
        </is>
      </c>
      <c r="C1396" s="1" t="n">
        <v>259.0</v>
      </c>
      <c r="D1396" s="7" t="n">
        <f>HYPERLINK("https://www.somogyi.hu/product/home-st-1-bk-mini-billenokapcsolo-1-aramkor-2-allas-250-v-3-a-fekete-st-1-bk-2014","https://www.somogyi.hu/product/home-st-1-bk-mini-billenokapcsolo-1-aramkor-2-allas-250-v-3-a-fekete-st-1-bk-2014")</f>
        <v>0.0</v>
      </c>
      <c r="E1396" s="7" t="n">
        <f>HYPERLINK("https://www.somogyi.hu/data/img/product_main_images/small/02014.jpg","https://www.somogyi.hu/data/img/product_main_images/small/02014.jpg")</f>
        <v>0.0</v>
      </c>
      <c r="F1396" s="2" t="inlineStr">
        <is>
          <t>5998312718049</t>
        </is>
      </c>
      <c r="G1396" s="4" t="inlineStr">
        <is>
          <t>Megbízható beépíthető kapcsolót keres? Ez esetben a legjobb helyen jár! Széles kínálatunkban garantáltan megtalálhatja az igényeinek megfelelőt!
Az ST 1/BK fekete színű mini billenőkapcsoló 2 állású és 1 áramkör működtetésére alkalmas. Max. terhelhetősége: 250 V~ / 3 A. Mérete: 21 x 15 mm. Beépítési mérete/nyílása: 20 x 13 mm. Beépítési mélysége saruval: 18,5 mm. Saruk száma: 2. Válassza a minőségi termékeket és rendeljen webáruházunkból.</t>
        </is>
      </c>
    </row>
    <row r="1397">
      <c r="A1397" s="3" t="inlineStr">
        <is>
          <t>AKV 01</t>
        </is>
      </c>
      <c r="B1397" s="2" t="inlineStr">
        <is>
          <t>Home AKV 01 világítós billenőkapcsoló, 1 áramkör - 2 állás, 12 V, piros, szögletes</t>
        </is>
      </c>
      <c r="C1397" s="1" t="n">
        <v>469.0</v>
      </c>
      <c r="D1397" s="7" t="n">
        <f>HYPERLINK("https://www.somogyi.hu/product/home-akv-01-vilagitos-billenokapcsolo-1-aramkor-2-allas-12-v-piros-szogletes-akv-01-4260","https://www.somogyi.hu/product/home-akv-01-vilagitos-billenokapcsolo-1-aramkor-2-allas-12-v-piros-szogletes-akv-01-4260")</f>
        <v>0.0</v>
      </c>
      <c r="E1397" s="7" t="n">
        <f>HYPERLINK("https://www.somogyi.hu/data/img/product_main_images/small/04260.jpg","https://www.somogyi.hu/data/img/product_main_images/small/04260.jpg")</f>
        <v>0.0</v>
      </c>
      <c r="F1397" s="2" t="inlineStr">
        <is>
          <t>5998312708859</t>
        </is>
      </c>
      <c r="G1397" s="4" t="inlineStr">
        <is>
          <t>Megbízható beépíthető kapcsolót keres? Ez esetben a legjobb helyen jár! Széles kínálatunkban garantáltan megtalálhatja az igényeinek megfelelőt!
Az AKV 01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398">
      <c r="A1398" s="3" t="inlineStr">
        <is>
          <t>ST 303</t>
        </is>
      </c>
      <c r="B1398" s="2" t="inlineStr">
        <is>
          <t>Home ST 303 billenőkapcsoló, 1 áramkör - 3 állás, 250 V, 3 A, kék</t>
        </is>
      </c>
      <c r="C1398" s="1" t="n">
        <v>479.0</v>
      </c>
      <c r="D1398" s="7" t="n">
        <f>HYPERLINK("https://www.somogyi.hu/product/home-st-303-billenokapcsolo-1-aramkor-3-allas-250-v-3-a-kek-st-303-1891","https://www.somogyi.hu/product/home-st-303-billenokapcsolo-1-aramkor-3-allas-250-v-3-a-kek-st-303-1891")</f>
        <v>0.0</v>
      </c>
      <c r="E1398" s="7" t="n">
        <f>HYPERLINK("https://www.somogyi.hu/data/img/product_main_images/small/01891.jpg","https://www.somogyi.hu/data/img/product_main_images/small/01891.jpg")</f>
        <v>0.0</v>
      </c>
      <c r="F1398" s="2" t="inlineStr">
        <is>
          <t>5998312704424</t>
        </is>
      </c>
      <c r="G1398" s="4" t="inlineStr">
        <is>
          <t>Megbízható beépíthető kapcsolót keres? Ez esetben a legjobb helyen jár! Széles kínálatunkban garantáltan megtalálhatja az igényeinek megfelelőt!
Az ST 303 billenőkapcsoló 3 állású és 1 áramkör működtetésére alkalmas. Max. terhelhetősége: 250 V~ / 3 A. Mérete: 13 x 8 mm. Beépítési mérete/nyílása: ø6 mm. Beépítési mélysége saruval: 15 mm. Saruk száma: 3. Válassza a minőségi termékeket és rendeljen webáruházunkból.</t>
        </is>
      </c>
    </row>
    <row r="1399">
      <c r="A1399" s="3" t="inlineStr">
        <is>
          <t>MSW 13</t>
        </is>
      </c>
      <c r="B1399" s="2" t="inlineStr">
        <is>
          <t>Home MSW 13 mikrokapcsoló, 1 áramkör, 5 A, mini nyomógörgős</t>
        </is>
      </c>
      <c r="C1399" s="1" t="n">
        <v>449.0</v>
      </c>
      <c r="D1399" s="7" t="n">
        <f>HYPERLINK("https://www.somogyi.hu/product/home-msw-13-mikrokapcsolo-1-aramkor-5-a-mini-nyomogorgos-msw-13-4780","https://www.somogyi.hu/product/home-msw-13-mikrokapcsolo-1-aramkor-5-a-mini-nyomogorgos-msw-13-4780")</f>
        <v>0.0</v>
      </c>
      <c r="E1399" s="7" t="n">
        <f>HYPERLINK("https://www.somogyi.hu/data/img/product_main_images/small/04780.jpg","https://www.somogyi.hu/data/img/product_main_images/small/04780.jpg")</f>
        <v>0.0</v>
      </c>
      <c r="F1399" s="2" t="inlineStr">
        <is>
          <t>5998312742235</t>
        </is>
      </c>
      <c r="G1399" s="4" t="inlineStr">
        <is>
          <t>Megbízható beépíthető kapcsolót keres? Ez esetben a legjobb helyen jár! Széles kínálatunkban garantáltan megtalálhatja az igényeinek megfelelőt!
Az MSW 13 mini mérettel rendelkező nyomógörgős mikrókapcsoló. Max. terhelhetősége: 250 V~ / 5 A. Mérete: 20 x 11 x 7 mm. Beépítési mérete/nyílása: 20 x 10,7 x 6,5 mm.  Saruk száma: 3. Válassza a minőségi termékeket és rendeljen webáruházunkból.</t>
        </is>
      </c>
    </row>
    <row r="1400">
      <c r="A1400" s="3" t="inlineStr">
        <is>
          <t>MSW 03</t>
        </is>
      </c>
      <c r="B1400" s="2" t="inlineStr">
        <is>
          <t>Home MSW 03 mikrokapcsoló, 1 áramkör, 10 A, nyomógörgős</t>
        </is>
      </c>
      <c r="C1400" s="1" t="n">
        <v>709.0</v>
      </c>
      <c r="D1400" s="7" t="n">
        <f>HYPERLINK("https://www.somogyi.hu/product/home-msw-03-mikrokapcsolo-1-aramkor-10-a-nyomogorgos-msw-03-4778","https://www.somogyi.hu/product/home-msw-03-mikrokapcsolo-1-aramkor-10-a-nyomogorgos-msw-03-4778")</f>
        <v>0.0</v>
      </c>
      <c r="E1400" s="7" t="n">
        <f>HYPERLINK("https://www.somogyi.hu/data/img/product_main_images/small/04778.jpg","https://www.somogyi.hu/data/img/product_main_images/small/04778.jpg")</f>
        <v>0.0</v>
      </c>
      <c r="F1400" s="2" t="inlineStr">
        <is>
          <t>5998312742211</t>
        </is>
      </c>
      <c r="G1400" s="4" t="inlineStr">
        <is>
          <t>Megbízható beépíthető kapcsolót keres? Ez esetben a legjobb helyen jár! Széles kínálatunkban garantáltan megtalálhatja az igényeinek megfelelőt!
Az MSW 03 nyomógörgős mikrókapcsoló. Max. terhelhetősége: 250 V~ / 10 A (nyomógörgős). Mérete: 29 x 16 x 10 mm. Beépítési mérete/nyílása: 29 x 16 x 10,3 mm.  Saruk száma: 3. Válassza a minőségi termékeket és rendeljen webáruházunkból.</t>
        </is>
      </c>
    </row>
    <row r="1401">
      <c r="A1401" s="3" t="inlineStr">
        <is>
          <t>AKV 11</t>
        </is>
      </c>
      <c r="B1401" s="2" t="inlineStr">
        <is>
          <t>Home AKV 01 világítós billenőkapcsoló, 1 áramkör - 2 állás, 12 V, piros, kerek</t>
        </is>
      </c>
      <c r="C1401" s="1" t="n">
        <v>559.0</v>
      </c>
      <c r="D1401" s="7" t="n">
        <f>HYPERLINK("https://www.somogyi.hu/product/home-akv-01-vilagitos-billenokapcsolo-1-aramkor-2-allas-12-v-piros-kerek-akv-11-4255","https://www.somogyi.hu/product/home-akv-01-vilagitos-billenokapcsolo-1-aramkor-2-allas-12-v-piros-kerek-akv-11-4255")</f>
        <v>0.0</v>
      </c>
      <c r="E1401" s="7" t="n">
        <f>HYPERLINK("https://www.somogyi.hu/data/img/product_main_images/small/04255.jpg","https://www.somogyi.hu/data/img/product_main_images/small/04255.jpg")</f>
        <v>0.0</v>
      </c>
      <c r="F1401" s="2" t="inlineStr">
        <is>
          <t>5998312708804</t>
        </is>
      </c>
      <c r="G1401" s="4" t="inlineStr">
        <is>
          <t>Megbízható beépíthető kapcsolót keres? Ez esetben a legjobb helyen jár! Széles kínálatunkban garantáltan megtalálhatja az igényeinek megfelelőt!
Az AKV 11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402">
      <c r="A1402" s="3" t="inlineStr">
        <is>
          <t>AK 12</t>
        </is>
      </c>
      <c r="B1402" s="2" t="inlineStr">
        <is>
          <t>Home AK 12 világítós billenőkapcsoló, 1 áramkör - 2 állás, 14 V, zöld</t>
        </is>
      </c>
      <c r="C1402" s="1" t="n">
        <v>759.0</v>
      </c>
      <c r="D1402" s="7" t="n">
        <f>HYPERLINK("https://www.somogyi.hu/product/home-ak-12-vilagitos-billenokapcsolo-1-aramkor-2-allas-14-v-zold-ak-12-3003","https://www.somogyi.hu/product/home-ak-12-vilagitos-billenokapcsolo-1-aramkor-2-allas-14-v-zold-ak-12-3003")</f>
        <v>0.0</v>
      </c>
      <c r="E1402" s="7" t="n">
        <f>HYPERLINK("https://www.somogyi.hu/data/img/product_main_images/small/03003.jpg","https://www.somogyi.hu/data/img/product_main_images/small/03003.jpg")</f>
        <v>0.0</v>
      </c>
      <c r="F1402" s="2" t="inlineStr">
        <is>
          <t>5998312733271</t>
        </is>
      </c>
      <c r="G1402" s="4" t="inlineStr">
        <is>
          <t>Megbízható beépíthető kapcsolót keres? Ez esetben a legjobb helyen jár! Széles kínálatunkban garantáltan megtalálhatja az igényeinek megfelelőt!
Az AK 12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03">
      <c r="A1403" s="3" t="inlineStr">
        <is>
          <t>AK 11</t>
        </is>
      </c>
      <c r="B1403" s="2" t="inlineStr">
        <is>
          <t>Home AK 11 világítós billenőkapcsoló, 1 áramkör - 2 állás, 14 V, piros</t>
        </is>
      </c>
      <c r="C1403" s="1" t="n">
        <v>759.0</v>
      </c>
      <c r="D1403" s="7" t="n">
        <f>HYPERLINK("https://www.somogyi.hu/product/home-ak-11-vilagitos-billenokapcsolo-1-aramkor-2-allas-14-v-piros-ak-11-3002","https://www.somogyi.hu/product/home-ak-11-vilagitos-billenokapcsolo-1-aramkor-2-allas-14-v-piros-ak-11-3002")</f>
        <v>0.0</v>
      </c>
      <c r="E1403" s="7" t="n">
        <f>HYPERLINK("https://www.somogyi.hu/data/img/product_main_images/small/03002.jpg","https://www.somogyi.hu/data/img/product_main_images/small/03002.jpg")</f>
        <v>0.0</v>
      </c>
      <c r="F1403" s="2" t="inlineStr">
        <is>
          <t>5998312733264</t>
        </is>
      </c>
      <c r="G1403" s="4" t="inlineStr">
        <is>
          <t>Megbízható beépíthető kapcsolót keres? Ez esetben a legjobb helyen jár! Széles kínálatunkban garantáltan megtalálhatja az igényeinek megfelelőt!
Az AK 11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04">
      <c r="A1404" s="3" t="inlineStr">
        <is>
          <t>ST 22</t>
        </is>
      </c>
      <c r="B1404" s="2" t="inlineStr">
        <is>
          <t>Home ST 22 billenőkapcsoló, 1 áramkör - 3 állás, 250 V, 6 A, fekete</t>
        </is>
      </c>
      <c r="C1404" s="1" t="n">
        <v>1150.0</v>
      </c>
      <c r="D1404" s="7" t="n">
        <f>HYPERLINK("https://www.somogyi.hu/product/home-st-22-billenokapcsolo-1-aramkor-3-allas-250-v-6-a-fekete-st-22-2799","https://www.somogyi.hu/product/home-st-22-billenokapcsolo-1-aramkor-3-allas-250-v-6-a-fekete-st-22-2799")</f>
        <v>0.0</v>
      </c>
      <c r="E1404" s="7" t="n">
        <f>HYPERLINK("https://www.somogyi.hu/data/img/product_main_images/small/02799.jpg","https://www.somogyi.hu/data/img/product_main_images/small/02799.jpg")</f>
        <v>0.0</v>
      </c>
      <c r="F1404" s="2" t="inlineStr">
        <is>
          <t>5998312731239</t>
        </is>
      </c>
      <c r="G1404" s="4" t="inlineStr">
        <is>
          <t>Megbízható beépíthető kapcsolót keres? Ez esetben a legjobb helyen jár! Széles kínálatunkban garantáltan megtalálhatja az igényeinek megfelelőt!
Az ST 22 billenőkapcsoló 3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05">
      <c r="A1405" s="3" t="inlineStr">
        <is>
          <t>ST 21</t>
        </is>
      </c>
      <c r="B1405" s="2" t="inlineStr">
        <is>
          <t>Home ST 21 billenőkapcsoló, 1 áramkör - 2 állás, 250 V, 6 A, fekete</t>
        </is>
      </c>
      <c r="C1405" s="1" t="n">
        <v>1150.0</v>
      </c>
      <c r="D1405" s="7" t="n">
        <f>HYPERLINK("https://www.somogyi.hu/product/home-st-21-billenokapcsolo-1-aramkor-2-allas-250-v-6-a-fekete-st-21-2798","https://www.somogyi.hu/product/home-st-21-billenokapcsolo-1-aramkor-2-allas-250-v-6-a-fekete-st-21-2798")</f>
        <v>0.0</v>
      </c>
      <c r="E1405" s="7" t="n">
        <f>HYPERLINK("https://www.somogyi.hu/data/img/product_main_images/small/02798.jpg","https://www.somogyi.hu/data/img/product_main_images/small/02798.jpg")</f>
        <v>0.0</v>
      </c>
      <c r="F1405" s="2" t="inlineStr">
        <is>
          <t>5998312731222</t>
        </is>
      </c>
      <c r="G1405" s="4" t="inlineStr">
        <is>
          <t>Megbízható beépíthető kapcsolót keres? Ez esetben a legjobb helyen jár! Széles kínálatunkban garantáltan megtalálhatja az igényeinek megfelelőt!
Az ST 21 billenőkapcsoló 2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06">
      <c r="A1406" s="3" t="inlineStr">
        <is>
          <t>SP 12/RD</t>
        </is>
      </c>
      <c r="B1406" s="2" t="inlineStr">
        <is>
          <t>Home SP 12/RD nyomógomb, 1 áramkör, záró, 250 V, 1,5 A, piros</t>
        </is>
      </c>
      <c r="C1406" s="1" t="n">
        <v>599.0</v>
      </c>
      <c r="D1406" s="7" t="n">
        <f>HYPERLINK("https://www.somogyi.hu/product/home-sp-12-rd-nyomogomb-1-aramkor-zaro-250-v-1-5-a-piros-sp-12-rd-2794","https://www.somogyi.hu/product/home-sp-12-rd-nyomogomb-1-aramkor-zaro-250-v-1-5-a-piros-sp-12-rd-2794")</f>
        <v>0.0</v>
      </c>
      <c r="E1406" s="7" t="n">
        <f>HYPERLINK("https://www.somogyi.hu/data/img/product_main_images/small/02794.jpg","https://www.somogyi.hu/data/img/product_main_images/small/02794.jpg")</f>
        <v>0.0</v>
      </c>
      <c r="F1406" s="2" t="inlineStr">
        <is>
          <t>5998312731185</t>
        </is>
      </c>
      <c r="G1406" s="4" t="inlineStr">
        <is>
          <t>Megbízható beépíthető kapcsolót keres? Ez esetben a legjobb helyen jár! Széles kínálatunkban garantáltan megtalálhatja az igényeinek megfelelőt!
Az SP 12/RD piros színű záró nyomógomb 1 áramkör működtetésére alkalmas. Lehetőség van - záró – OFF – (ON) funkcióra. Max. terhelhetősége: 250 V~ / 1,5 A. Mérete: ø14 mm. Beépítési mérete/nyílása: ø13 mm. Beépítési mélysége saruval: 21 mm. Saruk száma: 2. Válassza a minőségi termékeket és rendeljen webáruházunkból.</t>
        </is>
      </c>
    </row>
    <row r="1407">
      <c r="A1407" s="3" t="inlineStr">
        <is>
          <t>SP 12/GR</t>
        </is>
      </c>
      <c r="B1407" s="2" t="inlineStr">
        <is>
          <t>Home SP 12/GR nyomógomb, 1 áramkör, záró, 250 V, 1,5 A, zöld</t>
        </is>
      </c>
      <c r="C1407" s="1" t="n">
        <v>599.0</v>
      </c>
      <c r="D1407" s="7" t="n">
        <f>HYPERLINK("https://www.somogyi.hu/product/home-sp-12-gr-nyomogomb-1-aramkor-zaro-250-v-1-5-a-zold-sp-12-gr-2793","https://www.somogyi.hu/product/home-sp-12-gr-nyomogomb-1-aramkor-zaro-250-v-1-5-a-zold-sp-12-gr-2793")</f>
        <v>0.0</v>
      </c>
      <c r="E1407" s="7" t="n">
        <f>HYPERLINK("https://www.somogyi.hu/data/img/product_main_images/small/02793.jpg","https://www.somogyi.hu/data/img/product_main_images/small/02793.jpg")</f>
        <v>0.0</v>
      </c>
      <c r="F1407" s="2" t="inlineStr">
        <is>
          <t>5998312731178</t>
        </is>
      </c>
      <c r="G1407" s="4" t="inlineStr">
        <is>
          <t>Megbízható beépíthető kapcsolót keres? Ez esetben a legjobb helyen jár! Széles kínálatunkban garantáltan megtalálhatja az igényeinek megfelelőt!
Az SP 12/GR zöld színű záró nyomógomb 1 áramkör működtetésére alkalmas. Max. terhelhetősége: 250 V~ / 1,5 A. Mérete: ø14 mm. Beépítési mérete/nyílása: ø13 mm. Beépítési mélysége saruval: 21 mm. Saruk száma: 2. Válassza a minőségi termékeket és rendeljen webáruházunkból.</t>
        </is>
      </c>
    </row>
    <row r="1408">
      <c r="A1408" s="3" t="inlineStr">
        <is>
          <t>STV 15</t>
        </is>
      </c>
      <c r="B1408" s="2" t="inlineStr">
        <is>
          <t>Home STV 15 világítós billenőkapcsoló, 1 áramkör - 2 állás, 250 V, 6 A, piros</t>
        </is>
      </c>
      <c r="C1408" s="1" t="n">
        <v>659.0</v>
      </c>
      <c r="D1408" s="7" t="n">
        <f>HYPERLINK("https://www.somogyi.hu/product/home-stv-15-vilagitos-billenokapcsolo-1-aramkor-2-allas-250-v-6-a-piros-stv-15-2720","https://www.somogyi.hu/product/home-stv-15-vilagitos-billenokapcsolo-1-aramkor-2-allas-250-v-6-a-piros-stv-15-2720")</f>
        <v>0.0</v>
      </c>
      <c r="E1408" s="7" t="n">
        <f>HYPERLINK("https://www.somogyi.hu/data/img/product_main_images/small/02720.jpg","https://www.somogyi.hu/data/img/product_main_images/small/02720.jpg")</f>
        <v>0.0</v>
      </c>
      <c r="F1408" s="2" t="inlineStr">
        <is>
          <t>5998312730447</t>
        </is>
      </c>
      <c r="G1408" s="4" t="inlineStr">
        <is>
          <t>Megbízható beépíthető kapcsolót keres? Ez esetben a legjobb helyen jár! Széles kínálatunkban garantáltan megtalálhatja az igényeinek megfelelőt!
Az STV 15 világítós billenőkapcsoló 2 állású és 1 áramkör működtetésére alkalmas. A kapcsoló glimm típusú fényforrással rendelkezik. Max. terhelhetősége: 250 V~ / 6 A. Mérete: 21 x 15 mm. Beépítési mérete/nyílása: 20 x 13 mm. Beépítési mélysége saruval: 22 mm. Saruk száma: 3. Válassza a minőségi termékeket és rendeljen webáruházunkból.</t>
        </is>
      </c>
    </row>
    <row r="1409">
      <c r="A1409" s="3" t="inlineStr">
        <is>
          <t>ST 10/RD</t>
        </is>
      </c>
      <c r="B1409" s="2" t="inlineStr">
        <is>
          <t>Home ST 10/RD nyomókapcsoló, 1 áramkör - 2 állás, 250 V, 3 A, piros</t>
        </is>
      </c>
      <c r="C1409" s="1" t="n">
        <v>629.0</v>
      </c>
      <c r="D1409" s="7" t="n">
        <f>HYPERLINK("https://www.somogyi.hu/product/home-st-10-rd-nyomokapcsolo-1-aramkor-2-allas-250-v-3-a-piros-st-10-rd-2128","https://www.somogyi.hu/product/home-st-10-rd-nyomokapcsolo-1-aramkor-2-allas-250-v-3-a-piros-st-10-rd-2128")</f>
        <v>0.0</v>
      </c>
      <c r="E1409" s="7" t="n">
        <f>HYPERLINK("https://www.somogyi.hu/data/img/product_main_images/small/02128.jpg","https://www.somogyi.hu/data/img/product_main_images/small/02128.jpg")</f>
        <v>0.0</v>
      </c>
      <c r="F1409" s="2" t="inlineStr">
        <is>
          <t>5998312723739</t>
        </is>
      </c>
      <c r="G1409" s="4" t="inlineStr">
        <is>
          <t>Megbízható beépíthető kapcsolót keres? Ez esetben a legjobb helyen jár! Széles kínálatunkban garantáltan megtalálhatja az igényeinek megfelelőt!
Az ST 10/RD piros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410">
      <c r="A1410" s="3" t="inlineStr">
        <is>
          <t>SP 10/RD</t>
        </is>
      </c>
      <c r="B1410" s="2" t="inlineStr">
        <is>
          <t>Home SP 10/RD nyomógomb, 1 áramkör, záró, 125 V, 3 A, piros</t>
        </is>
      </c>
      <c r="C1410" s="1" t="n">
        <v>599.0</v>
      </c>
      <c r="D1410" s="7" t="n">
        <f>HYPERLINK("https://www.somogyi.hu/product/home-sp-10-rd-nyomogomb-1-aramkor-zaro-125-v-3-a-piros-sp-10-rd-2126","https://www.somogyi.hu/product/home-sp-10-rd-nyomogomb-1-aramkor-zaro-125-v-3-a-piros-sp-10-rd-2126")</f>
        <v>0.0</v>
      </c>
      <c r="E1410" s="7" t="n">
        <f>HYPERLINK("https://www.somogyi.hu/data/img/product_main_images/small/02126.jpg","https://www.somogyi.hu/data/img/product_main_images/small/02126.jpg")</f>
        <v>0.0</v>
      </c>
      <c r="F1410" s="2" t="inlineStr">
        <is>
          <t>5998312723715</t>
        </is>
      </c>
      <c r="G1410" s="4" t="inlineStr">
        <is>
          <t>Megbízható beépíthető kapcsolót keres? Ez esetben a legjobb helyen jár! Széles kínálatunkban garantáltan megtalálhatja az igényeinek megfelelőt!
Az SP 10/RD piros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411">
      <c r="A1411" s="3" t="inlineStr">
        <is>
          <t>SP 10/BK</t>
        </is>
      </c>
      <c r="B1411" s="2" t="inlineStr">
        <is>
          <t>Home SP 10/BK nyomógomb, 1 áramkör, záró, 125 V, 3 A, fekete</t>
        </is>
      </c>
      <c r="C1411" s="1" t="n">
        <v>599.0</v>
      </c>
      <c r="D1411" s="7" t="n">
        <f>HYPERLINK("https://www.somogyi.hu/product/home-sp-10-bk-nyomogomb-1-aramkor-zaro-125-v-3-a-fekete-sp-10-bk-2012","https://www.somogyi.hu/product/home-sp-10-bk-nyomogomb-1-aramkor-zaro-125-v-3-a-fekete-sp-10-bk-2012")</f>
        <v>0.0</v>
      </c>
      <c r="E1411" s="7" t="n">
        <f>HYPERLINK("https://www.somogyi.hu/data/img/product_main_images/small/02012.jpg","https://www.somogyi.hu/data/img/product_main_images/small/02012.jpg")</f>
        <v>0.0</v>
      </c>
      <c r="F1411" s="2" t="inlineStr">
        <is>
          <t>5998312717967</t>
        </is>
      </c>
      <c r="G1411" s="4" t="inlineStr">
        <is>
          <t>Megbízható beépíthető kapcsolót keres? Ez esetben a legjobb helyen jár! Széles kínálatunkban garantáltan megtalálhatja az igényeinek megfelelőt!
Az SP 10/BK fekete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412">
      <c r="A1412" s="3" t="inlineStr">
        <is>
          <t>STV 03</t>
        </is>
      </c>
      <c r="B1412" s="2" t="inlineStr">
        <is>
          <t>Home STV 03 világítós billenőkapcsoló, 1 áramkör - 2 állás, 250 V, 10 A, piros</t>
        </is>
      </c>
      <c r="C1412" s="1" t="n">
        <v>929.0</v>
      </c>
      <c r="D1412" s="7" t="n">
        <f>HYPERLINK("https://www.somogyi.hu/product/home-stv-03-vilagitos-billenokapcsolo-1-aramkor-2-allas-250-v-10-a-piros-stv-03-1898","https://www.somogyi.hu/product/home-stv-03-vilagitos-billenokapcsolo-1-aramkor-2-allas-250-v-10-a-piros-stv-03-1898")</f>
        <v>0.0</v>
      </c>
      <c r="E1412" s="7" t="n">
        <f>HYPERLINK("https://www.somogyi.hu/data/img/product_main_images/small/01898.jpg","https://www.somogyi.hu/data/img/product_main_images/small/01898.jpg")</f>
        <v>0.0</v>
      </c>
      <c r="F1412" s="2" t="inlineStr">
        <is>
          <t>5998312704523</t>
        </is>
      </c>
      <c r="G1412" s="4" t="inlineStr">
        <is>
          <t>Megbízható beépíthető kapcsolót keres? Ez esetben a legjobb helyen jár! Széles kínálatunkban garantáltan megtalálhatja az igényeinek megfelelőt!
Az STV 03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413">
      <c r="A1413" s="3" t="inlineStr">
        <is>
          <t>STV 01</t>
        </is>
      </c>
      <c r="B1413" s="2" t="inlineStr">
        <is>
          <t>Home STV 01 világítós billenőkapcsoló, 2 áramkör - 2 állás, 250 V, 10 A, piros</t>
        </is>
      </c>
      <c r="C1413" s="1" t="n">
        <v>1150.0</v>
      </c>
      <c r="D1413" s="7" t="n">
        <f>HYPERLINK("https://www.somogyi.hu/product/home-stv-01-vilagitos-billenokapcsolo-2-aramkor-2-allas-250-v-10-a-piros-stv-01-1896","https://www.somogyi.hu/product/home-stv-01-vilagitos-billenokapcsolo-2-aramkor-2-allas-250-v-10-a-piros-stv-01-1896")</f>
        <v>0.0</v>
      </c>
      <c r="E1413" s="7" t="n">
        <f>HYPERLINK("https://www.somogyi.hu/data/img/product_main_images/small/01896.jpg","https://www.somogyi.hu/data/img/product_main_images/small/01896.jpg")</f>
        <v>0.0</v>
      </c>
      <c r="F1413" s="2" t="inlineStr">
        <is>
          <t>5998312704509</t>
        </is>
      </c>
      <c r="G1413" s="4" t="inlineStr">
        <is>
          <t>Megbízható beépíthető kapcsolót keres? Ez esetben a legjobb helyen jár! Széles kínálatunkban garantáltan megtalálhatja az igényeinek megfelelőt!
Az STV 01 világítós billenőkapcsoló 2 állású és 2 áramkör működtetésére alkalmas. A kapcsoló glimm típusú fényforrással rendelkezik. Max. terhelhetősége: 250 V~ / 10 A. Mérete: 32 x 26 mm. Beépítési mérete/nyílása: 31 x 22 mm. Beépítési mélysége saruval: 27 mm. Saruk száma: 4. Válassza a minőségi termékeket és rendeljen webáruházunkból.</t>
        </is>
      </c>
    </row>
    <row r="1414">
      <c r="A1414" s="3" t="inlineStr">
        <is>
          <t>ST 304</t>
        </is>
      </c>
      <c r="B1414" s="2" t="inlineStr">
        <is>
          <t>Home ST 304 billenőkapcsoló, 2 áramkör - 2 állás, 250 V, 3 A, kék</t>
        </is>
      </c>
      <c r="C1414" s="1" t="n">
        <v>499.0</v>
      </c>
      <c r="D1414" s="7" t="n">
        <f>HYPERLINK("https://www.somogyi.hu/product/home-st-304-billenokapcsolo-2-aramkor-2-allas-250-v-3-a-kek-st-304-1892","https://www.somogyi.hu/product/home-st-304-billenokapcsolo-2-aramkor-2-allas-250-v-3-a-kek-st-304-1892")</f>
        <v>0.0</v>
      </c>
      <c r="E1414" s="7" t="n">
        <f>HYPERLINK("https://www.somogyi.hu/data/img/product_main_images/small/01892.jpg","https://www.somogyi.hu/data/img/product_main_images/small/01892.jpg")</f>
        <v>0.0</v>
      </c>
      <c r="F1414" s="2" t="inlineStr">
        <is>
          <t>5998312704431</t>
        </is>
      </c>
      <c r="G1414" s="4" t="inlineStr">
        <is>
          <t>Megbízható beépíthető kapcsolót keres? Ez esetben a legjobb helyen jár! Széles kínálatunkban garantáltan megtalálhatja az igényeinek megfelelőt!
Az ST 304 billenőkapcsoló 2 állású és 2 áramkör működtetésére alkalmas. Max. terhelhetősége: 250 V~ / 3 A. Mérete: 13 x 13 mm. Beépítési mérete/nyílása: ø6 mm. Beépítési mélysége saruval: 15 mm. Saruk száma: 6. Válassza a minőségi termékeket és rendeljen webáruházunkból.</t>
        </is>
      </c>
    </row>
    <row r="1415">
      <c r="A1415" s="3" t="inlineStr">
        <is>
          <t>ST 302</t>
        </is>
      </c>
      <c r="B1415" s="2" t="inlineStr">
        <is>
          <t>Home ST 302 billenőkapcsoló, 1 áramkör - 2 állás, 250 V, 3 A, kék</t>
        </is>
      </c>
      <c r="C1415" s="1" t="n">
        <v>479.0</v>
      </c>
      <c r="D1415" s="7" t="n">
        <f>HYPERLINK("https://www.somogyi.hu/product/home-st-302-billenokapcsolo-1-aramkor-2-allas-250-v-3-a-kek-st-302-1890","https://www.somogyi.hu/product/home-st-302-billenokapcsolo-1-aramkor-2-allas-250-v-3-a-kek-st-302-1890")</f>
        <v>0.0</v>
      </c>
      <c r="E1415" s="7" t="n">
        <f>HYPERLINK("https://www.somogyi.hu/data/img/product_main_images/small/01890.jpg","https://www.somogyi.hu/data/img/product_main_images/small/01890.jpg")</f>
        <v>0.0</v>
      </c>
      <c r="F1415" s="2" t="inlineStr">
        <is>
          <t>5998312704417</t>
        </is>
      </c>
      <c r="G1415" s="4" t="inlineStr">
        <is>
          <t>Megbízható beépíthető kapcsolót keres? Ez esetben a legjobb helyen jár! Széles kínálatunkban garantáltan megtalálhatja az igényeinek megfelelőt!
Az ST 302 billenőkapcsoló 2 állású és 1 áramkör működtetésére alkalmas.  Max. terhelhetősége: 250 V~ / 3 A. Mérete: 13 x 8 mm. Beépítési mérete/nyílása: ø6 mm. Beépítési mélysége saruval: 15 mm. Saruk száma: 3. Válassza a minőségi termékeket és rendeljen webáruházunkból.</t>
        </is>
      </c>
    </row>
    <row r="1416">
      <c r="A1416" s="3" t="inlineStr">
        <is>
          <t>ST 10/BK</t>
        </is>
      </c>
      <c r="B1416" s="2" t="inlineStr">
        <is>
          <t>Home ST 10/BK nyomókapcsoló, 1 áramkör - 2 állás, 250 V, 3 A, fekete</t>
        </is>
      </c>
      <c r="C1416" s="1" t="n">
        <v>629.0</v>
      </c>
      <c r="D1416" s="7" t="n">
        <f>HYPERLINK("https://www.somogyi.hu/product/home-st-10-bk-nyomokapcsolo-1-aramkor-2-allas-250-v-3-a-fekete-st-10-bk-1888","https://www.somogyi.hu/product/home-st-10-bk-nyomokapcsolo-1-aramkor-2-allas-250-v-3-a-fekete-st-10-bk-1888")</f>
        <v>0.0</v>
      </c>
      <c r="E1416" s="7" t="n">
        <f>HYPERLINK("https://www.somogyi.hu/data/img/product_main_images/small/01888.jpg","https://www.somogyi.hu/data/img/product_main_images/small/01888.jpg")</f>
        <v>0.0</v>
      </c>
      <c r="F1416" s="2" t="inlineStr">
        <is>
          <t>5998312704394</t>
        </is>
      </c>
      <c r="G1416" s="4" t="inlineStr">
        <is>
          <t>Megbízható beépíthető kapcsolót keres? Ez esetben a legjobb helyen jár! Széles kínálatunkban garantáltan megtalálhatja az igényeinek megfelelőt!
Az ST 10/BK fekete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417">
      <c r="A1417" s="3" t="inlineStr">
        <is>
          <t>MSW 01</t>
        </is>
      </c>
      <c r="B1417" s="2" t="inlineStr">
        <is>
          <t>Home MSW 01 mikrokapcsoló, 1 áramkör, 10 A</t>
        </is>
      </c>
      <c r="C1417" s="1" t="n">
        <v>629.0</v>
      </c>
      <c r="D1417" s="7" t="n">
        <f>HYPERLINK("https://www.somogyi.hu/product/home-msw-01-mikrokapcsolo-1-aramkor-10-a-msw-01-4777","https://www.somogyi.hu/product/home-msw-01-mikrokapcsolo-1-aramkor-10-a-msw-01-4777")</f>
        <v>0.0</v>
      </c>
      <c r="E1417" s="7" t="n">
        <f>HYPERLINK("https://www.somogyi.hu/data/img/product_main_images/small/04777.jpg","https://www.somogyi.hu/data/img/product_main_images/small/04777.jpg")</f>
        <v>0.0</v>
      </c>
      <c r="F1417" s="2" t="inlineStr">
        <is>
          <t>5998312742204</t>
        </is>
      </c>
      <c r="G1417" s="4" t="inlineStr">
        <is>
          <t>Megbízható beépíthető kapcsolót keres? Ez esetben a legjobb helyen jár! Széles kínálatunkban garantáltan megtalálhatja az igényeinek megfelelőt!
Az MSW 01 mikrókapcsoló.  Max. terhelhetősége: 250 V~ / 10 A. Mérete: 29 x 16 x 10 mm. Beépítési mérete/nyílása: 29 x 16 x 10,3 mm.  Saruk száma: 3. Válassza a minőségi termékeket és rendeljen webáruházunkból.</t>
        </is>
      </c>
    </row>
    <row r="1418">
      <c r="A1418" s="3" t="inlineStr">
        <is>
          <t>SP 02/RD</t>
        </is>
      </c>
      <c r="B1418" s="2" t="inlineStr">
        <is>
          <t>Home SP 02/RD nyomógomb, 1 áramkör, mini záró, piros</t>
        </is>
      </c>
      <c r="C1418" s="1" t="n">
        <v>399.0</v>
      </c>
      <c r="D1418" s="7" t="n">
        <f>HYPERLINK("https://www.somogyi.hu/product/home-sp-02-rd-nyomogomb-1-aramkor-mini-zaro-piros-sp-02-rd-4310","https://www.somogyi.hu/product/home-sp-02-rd-nyomogomb-1-aramkor-mini-zaro-piros-sp-02-rd-4310")</f>
        <v>0.0</v>
      </c>
      <c r="E1418" s="7" t="n">
        <f>HYPERLINK("https://www.somogyi.hu/data/img/product_main_images/small/04310.jpg","https://www.somogyi.hu/data/img/product_main_images/small/04310.jpg")</f>
        <v>0.0</v>
      </c>
      <c r="F1418" s="2" t="inlineStr">
        <is>
          <t>5998312737736</t>
        </is>
      </c>
      <c r="G1418" s="4" t="inlineStr">
        <is>
          <t>Megbízható beépíthető kapcsolót keres? Ez esetben a legjobb helyen jár! Széles kínálatunkban garantáltan megtalálhatja az igényeinek megfelelőt!
Az SP 02/RD piros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419">
      <c r="A1419" s="3" t="inlineStr">
        <is>
          <t>SP 02/BK</t>
        </is>
      </c>
      <c r="B1419" s="2" t="inlineStr">
        <is>
          <t>Home SP 02/BK nyomógomb, 1 áramkör, mini záró, fekete</t>
        </is>
      </c>
      <c r="C1419" s="1" t="n">
        <v>399.0</v>
      </c>
      <c r="D1419" s="7" t="n">
        <f>HYPERLINK("https://www.somogyi.hu/product/home-sp-02-bk-nyomogomb-1-aramkor-mini-zaro-fekete-sp-02-bk-4309","https://www.somogyi.hu/product/home-sp-02-bk-nyomogomb-1-aramkor-mini-zaro-fekete-sp-02-bk-4309")</f>
        <v>0.0</v>
      </c>
      <c r="E1419" s="7" t="n">
        <f>HYPERLINK("https://www.somogyi.hu/data/img/product_main_images/small/04309.jpg","https://www.somogyi.hu/data/img/product_main_images/small/04309.jpg")</f>
        <v>0.0</v>
      </c>
      <c r="F1419" s="2" t="inlineStr">
        <is>
          <t>5998312737729</t>
        </is>
      </c>
      <c r="G1419" s="4" t="inlineStr">
        <is>
          <t>Megbízható beépíthető kapcsolót keres? Ez esetben a legjobb helyen jár! Széles kínálatunkban garantáltan megtalálhatja az igényeinek megfelelőt!
Az SP 02/BK fekete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420">
      <c r="A1420" s="3" t="inlineStr">
        <is>
          <t>AKV 02</t>
        </is>
      </c>
      <c r="B1420" s="2" t="inlineStr">
        <is>
          <t>Home AKV 02 világítós billenőkapcsoló, 1 áramkör - 2 állás, 12 V, zöld, szögletes</t>
        </is>
      </c>
      <c r="C1420" s="1" t="n">
        <v>469.0</v>
      </c>
      <c r="D1420" s="7" t="n">
        <f>HYPERLINK("https://www.somogyi.hu/product/home-akv-02-vilagitos-billenokapcsolo-1-aramkor-2-allas-12-v-zold-szogletes-akv-02-4261","https://www.somogyi.hu/product/home-akv-02-vilagitos-billenokapcsolo-1-aramkor-2-allas-12-v-zold-szogletes-akv-02-4261")</f>
        <v>0.0</v>
      </c>
      <c r="E1420" s="7" t="n">
        <f>HYPERLINK("https://www.somogyi.hu/data/img/product_main_images/small/04261.jpg","https://www.somogyi.hu/data/img/product_main_images/small/04261.jpg")</f>
        <v>0.0</v>
      </c>
      <c r="F1420" s="2" t="inlineStr">
        <is>
          <t>5998312708866</t>
        </is>
      </c>
      <c r="G1420" s="4" t="inlineStr">
        <is>
          <t>Megbízható beépíthető kapcsolót keres? Ez esetben a legjobb helyen jár! Széles kínálatunkban garantáltan megtalálhatja az igényeinek megfelelőt!
Az AKV 02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421">
      <c r="A1421" s="3" t="inlineStr">
        <is>
          <t>AKV 12</t>
        </is>
      </c>
      <c r="B1421" s="2" t="inlineStr">
        <is>
          <t>Home AKV 02 világítós billenőkapcsoló, 1 áramkör - 2 állás, 12 V, zöld, kerek</t>
        </is>
      </c>
      <c r="C1421" s="1" t="n">
        <v>559.0</v>
      </c>
      <c r="D1421" s="7" t="n">
        <f>HYPERLINK("https://www.somogyi.hu/product/home-akv-02-vilagitos-billenokapcsolo-1-aramkor-2-allas-12-v-zold-kerek-akv-12-4254","https://www.somogyi.hu/product/home-akv-02-vilagitos-billenokapcsolo-1-aramkor-2-allas-12-v-zold-kerek-akv-12-4254")</f>
        <v>0.0</v>
      </c>
      <c r="E1421" s="7" t="n">
        <f>HYPERLINK("https://www.somogyi.hu/data/img/product_main_images/small/04254.jpg","https://www.somogyi.hu/data/img/product_main_images/small/04254.jpg")</f>
        <v>0.0</v>
      </c>
      <c r="F1421" s="2" t="inlineStr">
        <is>
          <t>5998312708798</t>
        </is>
      </c>
      <c r="G1421" s="4" t="inlineStr">
        <is>
          <t>Megbízható beépíthető kapcsolót keres? Ez esetben a legjobb helyen jár! Széles kínálatunkban garantáltan megtalálhatja az igényeinek megfelelőt!
Az AKV 12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422">
      <c r="A1422" s="3" t="inlineStr">
        <is>
          <t>ST 305</t>
        </is>
      </c>
      <c r="B1422" s="2" t="inlineStr">
        <is>
          <t>Home ST 305 billenőkapcsoló, 2 áramkör - 3 állás, 250 V, 3 A, kék</t>
        </is>
      </c>
      <c r="C1422" s="1" t="n">
        <v>499.0</v>
      </c>
      <c r="D1422" s="7" t="n">
        <f>HYPERLINK("https://www.somogyi.hu/product/home-st-305-billenokapcsolo-2-aramkor-3-allas-250-v-3-a-kek-st-305-1893","https://www.somogyi.hu/product/home-st-305-billenokapcsolo-2-aramkor-3-allas-250-v-3-a-kek-st-305-1893")</f>
        <v>0.0</v>
      </c>
      <c r="E1422" s="7" t="n">
        <f>HYPERLINK("https://www.somogyi.hu/data/img/product_main_images/small/01893.jpg","https://www.somogyi.hu/data/img/product_main_images/small/01893.jpg")</f>
        <v>0.0</v>
      </c>
      <c r="F1422" s="2" t="inlineStr">
        <is>
          <t>5998312704448</t>
        </is>
      </c>
      <c r="G1422" s="4" t="inlineStr">
        <is>
          <t>Megbízható beépíthető kapcsolót keres? Ez esetben a legjobb helyen jár! Széles kínálatunkban garantáltan megtalálhatja az igényeinek megfelelőt!
Az ST 305 billenőkapcsoló 3 állású és 2 áramkör működtetésére alkalmas. Max. terhelhetősége: 250 V~ / 3 A. Mérete: 13 x 13 mm. Beépítési mérete/nyílása: ø6 mm. Beépítési mélysége saruval: 15 mm. Saruk száma: 6. Válassza a minőségi termékeket és rendeljen webáruházunkból.</t>
        </is>
      </c>
    </row>
    <row r="1423">
      <c r="A1423" s="3" t="inlineStr">
        <is>
          <t>STV 02</t>
        </is>
      </c>
      <c r="B1423" s="2" t="inlineStr">
        <is>
          <t>Home STV 02 világítós billenőkapcsoló, 2 áramkör - 2 állás, 250 V, 10 A, zöld</t>
        </is>
      </c>
      <c r="C1423" s="1" t="n">
        <v>1190.0</v>
      </c>
      <c r="D1423" s="7" t="n">
        <f>HYPERLINK("https://www.somogyi.hu/product/home-stv-02-vilagitos-billenokapcsolo-2-aramkor-2-allas-250-v-10-a-zold-stv-02-1897","https://www.somogyi.hu/product/home-stv-02-vilagitos-billenokapcsolo-2-aramkor-2-allas-250-v-10-a-zold-stv-02-1897")</f>
        <v>0.0</v>
      </c>
      <c r="E1423" s="7" t="n">
        <f>HYPERLINK("https://www.somogyi.hu/data/img/product_main_images/small/01897.jpg","https://www.somogyi.hu/data/img/product_main_images/small/01897.jpg")</f>
        <v>0.0</v>
      </c>
      <c r="F1423" s="2" t="inlineStr">
        <is>
          <t>5998312704516</t>
        </is>
      </c>
      <c r="G1423" s="4" t="inlineStr">
        <is>
          <t>Megbízható beépíthető kapcsolót keres? Ez esetben a legjobb helyen jár! Széles kínálatunkban garantáltan megtalálhatja az igényeinek megfelelőt!
Az STV 02 világítós billenőkapcsoló 2 állású és 2 áramkör működtetésére alkalmas. A kapcsoló glimm típusú fényforrással rendelkezik. Max. terhelhetősége: 250 V~ / 6 A. Mérete: 32 x 26 mm. Beépítési mérete/nyílása: 31 x 22 mm. Beépítési mélysége saruval: 27 mm. Saruk száma: 4. Válassza a minőségi termékeket és rendeljen webáruházunkból.</t>
        </is>
      </c>
    </row>
    <row r="1424">
      <c r="A1424" s="3" t="inlineStr">
        <is>
          <t>STV 05</t>
        </is>
      </c>
      <c r="B1424" s="2" t="inlineStr">
        <is>
          <t>Home STV 05 világítós billenőkapcsoló, 2 áramkör - 2 állás, 250 V, 6 A, piros</t>
        </is>
      </c>
      <c r="C1424" s="1" t="n">
        <v>889.0</v>
      </c>
      <c r="D1424" s="7" t="n">
        <f>HYPERLINK("https://www.somogyi.hu/product/home-stv-05-vilagitos-billenokapcsolo-2-aramkor-2-allas-250-v-6-a-piros-stv-05-1899","https://www.somogyi.hu/product/home-stv-05-vilagitos-billenokapcsolo-2-aramkor-2-allas-250-v-6-a-piros-stv-05-1899")</f>
        <v>0.0</v>
      </c>
      <c r="E1424" s="7" t="n">
        <f>HYPERLINK("https://www.somogyi.hu/data/img/product_main_images/small/01899.jpg","https://www.somogyi.hu/data/img/product_main_images/small/01899.jpg")</f>
        <v>0.0</v>
      </c>
      <c r="F1424" s="2" t="inlineStr">
        <is>
          <t>5998312704547</t>
        </is>
      </c>
      <c r="G1424" s="4" t="inlineStr">
        <is>
          <t>Megbízható beépíthető kapcsolót keres? Ez esetben a legjobb helyen jár! Széles kínálatunkban garantáltan megtalálhatja az igényeinek megfelelőt!
Az STV 05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425">
      <c r="A1425" s="3" t="inlineStr">
        <is>
          <t>AK 01</t>
        </is>
      </c>
      <c r="B1425" s="2" t="inlineStr">
        <is>
          <t>Home AK 01 világítós billenőkapcsoló, 1 áramkör - 2 állás, 12 V, piros</t>
        </is>
      </c>
      <c r="C1425" s="1" t="n">
        <v>779.0</v>
      </c>
      <c r="D1425" s="7" t="n">
        <f>HYPERLINK("https://www.somogyi.hu/product/home-ak-01-vilagitos-billenokapcsolo-1-aramkor-2-allas-12-v-piros-ak-01-2791","https://www.somogyi.hu/product/home-ak-01-vilagitos-billenokapcsolo-1-aramkor-2-allas-12-v-piros-ak-01-2791")</f>
        <v>0.0</v>
      </c>
      <c r="E1425" s="7" t="n">
        <f>HYPERLINK("https://www.somogyi.hu/data/img/product_main_images/small/02791.jpg","https://www.somogyi.hu/data/img/product_main_images/small/02791.jpg")</f>
        <v>0.0</v>
      </c>
      <c r="F1425" s="2" t="inlineStr">
        <is>
          <t>5998312731154</t>
        </is>
      </c>
      <c r="G1425" s="4" t="inlineStr">
        <is>
          <t>Megbízható beépíthető kapcsolót keres? Ez esetben a legjobb helyen jár! Széles kínálatunkban garantáltan megtalálhatja az igényeinek megfelelőt!
Az AK 01 világítós billenőkapcsoló 2 állású és 1 áramkör működtetésére alkalmas.  Max. terhelhetősége: 12 V / 20 A. Mérete: 25 x 14 mm. Beépítési mérete/nyílása: ø12 mm. Beépítési mélysége saruval: 28 mm. Saruk száma: 3. A fényforrás tápellátása: 12 V. Válassza a minőségi termékeket és rendeljen webáruházunkból.</t>
        </is>
      </c>
    </row>
    <row r="1426">
      <c r="A1426" s="3" t="inlineStr">
        <is>
          <t>AK 61</t>
        </is>
      </c>
      <c r="B1426" s="2" t="inlineStr">
        <is>
          <t>Home AK 61 billenőkapcsoló, 2 áramkör - 3 pozíció, 12 V, fekete</t>
        </is>
      </c>
      <c r="C1426" s="1" t="n">
        <v>1990.0</v>
      </c>
      <c r="D1426" s="7" t="n">
        <f>HYPERLINK("https://www.somogyi.hu/product/home-ak-61-billenokapcsolo-2-aramkor-3-pozicio-12-v-fekete-ak-61-2737","https://www.somogyi.hu/product/home-ak-61-billenokapcsolo-2-aramkor-3-pozicio-12-v-fekete-ak-61-2737")</f>
        <v>0.0</v>
      </c>
      <c r="E1426" s="7" t="n">
        <f>HYPERLINK("https://www.somogyi.hu/data/img/product_main_images/small/02737.jpg","https://www.somogyi.hu/data/img/product_main_images/small/02737.jpg")</f>
        <v>0.0</v>
      </c>
      <c r="F1426" s="2" t="inlineStr">
        <is>
          <t>5998312730614</t>
        </is>
      </c>
      <c r="G1426" s="4" t="inlineStr">
        <is>
          <t>Megbízható beépíthető kapcsolót keres? Ez esetben a legjobb helyen jár! Széles kínálatunkban garantáltan megtalálhatja az igényeinek megfelelőt!
Az AK 61 billenőkapcsoló 3 állású és 2 áramkör működtetésére alkalmas. Használata ablakemelőhöz ajánlott. Max. terhelhetősége: 12 V / 15 A. Mérete: 21 x 38 mm. Beépítési mérete/nyílása: 37 x 18 mm. Beépítési mélysége saruval: 24,5 mm. Saruk száma: 5. Válassza a minőségi termékeket és rendeljen webáruházunkból.</t>
        </is>
      </c>
    </row>
    <row r="1427">
      <c r="A1427" s="3" t="inlineStr">
        <is>
          <t>STV 12</t>
        </is>
      </c>
      <c r="B1427" s="2" t="inlineStr">
        <is>
          <t>Home STV 12 világítós billenőkapcsoló, 1 áramkör - 2 állás, 250 V, 6 A, zöld</t>
        </is>
      </c>
      <c r="C1427" s="1" t="n">
        <v>829.0</v>
      </c>
      <c r="D1427" s="7" t="n">
        <f>HYPERLINK("https://www.somogyi.hu/product/home-stv-12-vilagitos-billenokapcsolo-1-aramkor-2-allas-250-v-6-a-zold-stv-12-2645","https://www.somogyi.hu/product/home-stv-12-vilagitos-billenokapcsolo-1-aramkor-2-allas-250-v-6-a-zold-stv-12-2645")</f>
        <v>0.0</v>
      </c>
      <c r="E1427" s="7" t="n">
        <f>HYPERLINK("https://www.somogyi.hu/data/img/product_main_images/small/02645.jpg","https://www.somogyi.hu/data/img/product_main_images/small/02645.jpg")</f>
        <v>0.0</v>
      </c>
      <c r="F1427" s="2" t="inlineStr">
        <is>
          <t>5998312729632</t>
        </is>
      </c>
      <c r="G1427" s="4" t="inlineStr">
        <is>
          <t>Megbízható beépíthető kapcsolót keres? Ez esetben a legjobb helyen jár! Széles kínálatunkban garantáltan megtalálhatja az igényeinek megfelelőt!
Az STV 12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28">
      <c r="A1428" s="3" t="inlineStr">
        <is>
          <t>STV 11</t>
        </is>
      </c>
      <c r="B1428" s="2" t="inlineStr">
        <is>
          <t>Home STV 11 világítós billenőkapcsoló, 1 áramkör - 2 állás, 250 V, 6 A, piros</t>
        </is>
      </c>
      <c r="C1428" s="1" t="n">
        <v>759.0</v>
      </c>
      <c r="D1428" s="7" t="n">
        <f>HYPERLINK("https://www.somogyi.hu/product/home-stv-11-vilagitos-billenokapcsolo-1-aramkor-2-allas-250-v-6-a-piros-stv-11-2644","https://www.somogyi.hu/product/home-stv-11-vilagitos-billenokapcsolo-1-aramkor-2-allas-250-v-6-a-piros-stv-11-2644")</f>
        <v>0.0</v>
      </c>
      <c r="E1428" s="7" t="n">
        <f>HYPERLINK("https://www.somogyi.hu/data/img/product_main_images/small/02644.jpg","https://www.somogyi.hu/data/img/product_main_images/small/02644.jpg")</f>
        <v>0.0</v>
      </c>
      <c r="F1428" s="2" t="inlineStr">
        <is>
          <t>5998312729625</t>
        </is>
      </c>
      <c r="G1428" s="4" t="inlineStr">
        <is>
          <t>Megbízható beépíthető kapcsolót keres? Ez esetben a legjobb helyen jár! Széles kínálatunkban garantáltan megtalálhatja az igényeinek megfelelőt!
Az STV 11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29">
      <c r="A1429" s="3" t="inlineStr">
        <is>
          <t>STV 08</t>
        </is>
      </c>
      <c r="B1429" s="2" t="inlineStr">
        <is>
          <t>Home STV 08 világítós billenőkapcsoló, 1 áramkör - 2 állás, 250 V, 6 A, zöld</t>
        </is>
      </c>
      <c r="C1429" s="1" t="n">
        <v>809.0</v>
      </c>
      <c r="D1429" s="7" t="n">
        <f>HYPERLINK("https://www.somogyi.hu/product/home-stv-08-vilagitos-billenokapcsolo-1-aramkor-2-allas-250-v-6-a-zold-stv-08-2642","https://www.somogyi.hu/product/home-stv-08-vilagitos-billenokapcsolo-1-aramkor-2-allas-250-v-6-a-zold-stv-08-2642")</f>
        <v>0.0</v>
      </c>
      <c r="E1429" s="7" t="n">
        <f>HYPERLINK("https://www.somogyi.hu/data/img/product_main_images/small/02642.jpg","https://www.somogyi.hu/data/img/product_main_images/small/02642.jpg")</f>
        <v>0.0</v>
      </c>
      <c r="F1429" s="2" t="inlineStr">
        <is>
          <t>5998312729601</t>
        </is>
      </c>
      <c r="G1429" s="4" t="inlineStr">
        <is>
          <t>Megbízható beépíthető kapcsolót keres? Ez esetben a legjobb helyen jár! Széles kínálatunkban garantáltan megtalálhatja az igényeinek megfelelőt!
Az STV 08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30">
      <c r="A1430" s="3" t="inlineStr">
        <is>
          <t>STV 07</t>
        </is>
      </c>
      <c r="B1430" s="2" t="inlineStr">
        <is>
          <t>Home STV 07 világítós billenőkapcsoló, 1 áramkör - 2 állás, 250 V, 6 A, piros</t>
        </is>
      </c>
      <c r="C1430" s="1" t="n">
        <v>809.0</v>
      </c>
      <c r="D1430" s="7" t="n">
        <f>HYPERLINK("https://www.somogyi.hu/product/home-stv-07-vilagitos-billenokapcsolo-1-aramkor-2-allas-250-v-6-a-piros-stv-07-2641","https://www.somogyi.hu/product/home-stv-07-vilagitos-billenokapcsolo-1-aramkor-2-allas-250-v-6-a-piros-stv-07-2641")</f>
        <v>0.0</v>
      </c>
      <c r="E1430" s="7" t="n">
        <f>HYPERLINK("https://www.somogyi.hu/data/img/product_main_images/small/02641.jpg","https://www.somogyi.hu/data/img/product_main_images/small/02641.jpg")</f>
        <v>0.0</v>
      </c>
      <c r="F1430" s="2" t="inlineStr">
        <is>
          <t>5998312729595</t>
        </is>
      </c>
      <c r="G1430" s="4" t="inlineStr">
        <is>
          <t>Megbízható beépíthető kapcsolót keres? Ez esetben a legjobb helyen jár! Széles kínálatunkban garantáltan megtalálhatja az igényeinek megfelelőt!
Az STV 07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31">
      <c r="A1431" s="3" t="inlineStr">
        <is>
          <t>STV 06</t>
        </is>
      </c>
      <c r="B1431" s="2" t="inlineStr">
        <is>
          <t>Home STV 06 világítós billenőkapcsoló, 2 áramkör - 2 állás, 250 V, 5 A, zöld</t>
        </is>
      </c>
      <c r="C1431" s="1" t="n">
        <v>889.0</v>
      </c>
      <c r="D1431" s="7" t="n">
        <f>HYPERLINK("https://www.somogyi.hu/product/home-stv-06-vilagitos-billenokapcsolo-2-aramkor-2-allas-250-v-5-a-zold-stv-06-2045","https://www.somogyi.hu/product/home-stv-06-vilagitos-billenokapcsolo-2-aramkor-2-allas-250-v-5-a-zold-stv-06-2045")</f>
        <v>0.0</v>
      </c>
      <c r="E1431" s="7" t="n">
        <f>HYPERLINK("https://www.somogyi.hu/data/img/product_main_images/small/02045.jpg","https://www.somogyi.hu/data/img/product_main_images/small/02045.jpg")</f>
        <v>0.0</v>
      </c>
      <c r="F1431" s="2" t="inlineStr">
        <is>
          <t>5998312722442</t>
        </is>
      </c>
      <c r="G1431" s="4" t="inlineStr">
        <is>
          <t>Megbízható beépíthető kapcsolót keres? Ez esetben a legjobb helyen jár! Széles kínálatunkban garantáltan megtalálhatja az igényeinek megfelelőt!
Az STV 06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432">
      <c r="A1432" s="3" t="inlineStr">
        <is>
          <t>STV 04</t>
        </is>
      </c>
      <c r="B1432" s="2" t="inlineStr">
        <is>
          <t>Home STV 04 világítós billenőkapcsoló, 1 áramkör - 2 állás, 250 V, 10 A, zöld</t>
        </is>
      </c>
      <c r="C1432" s="1" t="n">
        <v>1150.0</v>
      </c>
      <c r="D1432" s="7" t="n">
        <f>HYPERLINK("https://www.somogyi.hu/product/home-stv-04-vilagitos-billenokapcsolo-1-aramkor-2-allas-250-v-10-a-zold-stv-04-2047","https://www.somogyi.hu/product/home-stv-04-vilagitos-billenokapcsolo-1-aramkor-2-allas-250-v-10-a-zold-stv-04-2047")</f>
        <v>0.0</v>
      </c>
      <c r="E1432" s="7" t="n">
        <f>HYPERLINK("https://www.somogyi.hu/data/img/product_main_images/small/02047.jpg","https://www.somogyi.hu/data/img/product_main_images/small/02047.jpg")</f>
        <v>0.0</v>
      </c>
      <c r="F1432" s="2" t="inlineStr">
        <is>
          <t>5998312722480</t>
        </is>
      </c>
      <c r="G1432" s="4" t="inlineStr">
        <is>
          <t>Megbízható beépíthető kapcsolót keres? Ez esetben a legjobb helyen jár! Széles kínálatunkban garantáltan megtalálhatja az igényeinek megfelelőt!
Az STV 04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433">
      <c r="A1433" s="6" t="inlineStr">
        <is>
          <t xml:space="preserve">   Audio-video kiegészítők / Telefonvezeték</t>
        </is>
      </c>
      <c r="B1433" s="6" t="inlineStr">
        <is>
          <t/>
        </is>
      </c>
      <c r="C1433" s="6" t="inlineStr">
        <is>
          <t/>
        </is>
      </c>
      <c r="D1433" s="6" t="inlineStr">
        <is>
          <t/>
        </is>
      </c>
      <c r="E1433" s="6" t="inlineStr">
        <is>
          <t/>
        </is>
      </c>
      <c r="F1433" s="6" t="inlineStr">
        <is>
          <t/>
        </is>
      </c>
      <c r="G1433" s="6" t="inlineStr">
        <is>
          <t/>
        </is>
      </c>
    </row>
    <row r="1434">
      <c r="A1434" s="3" t="inlineStr">
        <is>
          <t>TK 1/WH</t>
        </is>
      </c>
      <c r="B1434" s="2" t="inlineStr">
        <is>
          <t>Home TK 1/WH telefonvezeték, réz, 4 eres, fehér, 100m</t>
        </is>
      </c>
      <c r="C1434" s="1" t="n">
        <v>69.0</v>
      </c>
      <c r="D1434" s="7" t="n">
        <f>HYPERLINK("https://www.somogyi.hu/product/home-tk-1-wh-telefonvezetek-rez-4-eres-feher-100m-tk-1-wh-2885","https://www.somogyi.hu/product/home-tk-1-wh-telefonvezetek-rez-4-eres-feher-100m-tk-1-wh-2885")</f>
        <v>0.0</v>
      </c>
      <c r="E1434" s="7" t="n">
        <f>HYPERLINK("https://www.somogyi.hu/data/img/product_main_images/small/02885.jpg","https://www.somogyi.hu/data/img/product_main_images/small/02885.jpg")</f>
        <v>0.0</v>
      </c>
      <c r="F1434" s="2" t="inlineStr">
        <is>
          <t>5998312732090</t>
        </is>
      </c>
      <c r="G1434" s="4" t="inlineStr">
        <is>
          <t>Keresse a masszív, megbízható kialakítással rendelkező telefonvezetékeket! A TK 1/WH fehér színű, 4 eres telefonvezeték réz alapanyagú, 4C x (7 x 0,12 mm-es) kivitelben kapható. Kiszerelés: 100m/tekercs. Válassza a minőségi termékeket és rendeljen webáruházunkból.</t>
        </is>
      </c>
    </row>
    <row r="1435">
      <c r="A1435" s="6" t="inlineStr">
        <is>
          <t xml:space="preserve">   Audio-video kiegészítők / Szerelt telefonkábel</t>
        </is>
      </c>
      <c r="B1435" s="6" t="inlineStr">
        <is>
          <t/>
        </is>
      </c>
      <c r="C1435" s="6" t="inlineStr">
        <is>
          <t/>
        </is>
      </c>
      <c r="D1435" s="6" t="inlineStr">
        <is>
          <t/>
        </is>
      </c>
      <c r="E1435" s="6" t="inlineStr">
        <is>
          <t/>
        </is>
      </c>
      <c r="F1435" s="6" t="inlineStr">
        <is>
          <t/>
        </is>
      </c>
      <c r="G1435" s="6" t="inlineStr">
        <is>
          <t/>
        </is>
      </c>
    </row>
    <row r="1436">
      <c r="A1436" s="3" t="inlineStr">
        <is>
          <t>T 5-10/WH</t>
        </is>
      </c>
      <c r="B1436" s="2" t="inlineStr">
        <is>
          <t>Home T 5-10/WH telefoncsatlakozó kábel, 6P/4C (RJ 11), dugó - dugó, fehér, 10m</t>
        </is>
      </c>
      <c r="C1436" s="1" t="n">
        <v>1050.0</v>
      </c>
      <c r="D1436" s="7" t="n">
        <f>HYPERLINK("https://www.somogyi.hu/product/home-t-5-10-wh-telefoncsatlakozo-kabel-6p-4c-rj-11-dugo-dugo-feher-10m-t-5-10-wh-2909","https://www.somogyi.hu/product/home-t-5-10-wh-telefoncsatlakozo-kabel-6p-4c-rj-11-dugo-dugo-feher-10m-t-5-10-wh-2909")</f>
        <v>0.0</v>
      </c>
      <c r="E1436" s="7" t="n">
        <f>HYPERLINK("https://www.somogyi.hu/data/img/product_main_images/small/02909.jpg","https://www.somogyi.hu/data/img/product_main_images/small/02909.jpg")</f>
        <v>0.0</v>
      </c>
      <c r="F1436" s="2" t="inlineStr">
        <is>
          <t>5998312732335</t>
        </is>
      </c>
      <c r="G1436" s="4" t="inlineStr">
        <is>
          <t>Keresse a masszív kialakítással rendelkező telefonkábeleket. 
A T 5-10/WH fehér színben, 10 méteres hosszban kapható. A spirál alakú kábel mindkét végén dugóval (6P/4C) rendelkezik. Válassza a minőségi termékeket és rendeljen webáruházunkból.</t>
        </is>
      </c>
    </row>
    <row r="1437">
      <c r="A1437" s="3" t="inlineStr">
        <is>
          <t>T 5-5WH/X</t>
        </is>
      </c>
      <c r="B1437" s="2" t="inlineStr">
        <is>
          <t>Telefoncsatlakozó kábel, 6P4C, dugó-dugó, 5m</t>
        </is>
      </c>
      <c r="C1437" s="1" t="n">
        <v>729.0</v>
      </c>
      <c r="D1437" s="7" t="n">
        <f>HYPERLINK("https://www.somogyi.hu/product/telefoncsatlakozo-kabel-6p4c-dugo-dugo-5m-t-5-5wh-x-2906","https://www.somogyi.hu/product/telefoncsatlakozo-kabel-6p4c-dugo-dugo-5m-t-5-5wh-x-2906")</f>
        <v>0.0</v>
      </c>
      <c r="E1437" s="7" t="n">
        <f>HYPERLINK("https://www.somogyi.hu/data/img/product_main_images/small/02906.jpg","https://www.somogyi.hu/data/img/product_main_images/small/02906.jpg")</f>
        <v>0.0</v>
      </c>
      <c r="F1437" s="2" t="inlineStr">
        <is>
          <t>5998312732304</t>
        </is>
      </c>
      <c r="G1437" s="4" t="inlineStr">
        <is>
          <t xml:space="preserve"> • funkció / kialakítás: telefon bekötéshez 
 • csatlakozók: 2 x (6P / 4C) 
 • aranyozott érintkező: igen 
 • kábelhossz: 5 m 
 • bliszterben: igen</t>
        </is>
      </c>
    </row>
    <row r="1438">
      <c r="A1438" s="3" t="inlineStr">
        <is>
          <t>T 5-10WH/X</t>
        </is>
      </c>
      <c r="B1438" s="2" t="inlineStr">
        <is>
          <t>Telefoncsatlakozó kábel, 6P4C, dugó-dugó, 10m</t>
        </is>
      </c>
      <c r="C1438" s="1" t="n">
        <v>1190.0</v>
      </c>
      <c r="D1438" s="7" t="n">
        <f>HYPERLINK("https://www.somogyi.hu/product/telefoncsatlakozo-kabel-6p4c-dugo-dugo-10m-t-5-10wh-x-2905","https://www.somogyi.hu/product/telefoncsatlakozo-kabel-6p4c-dugo-dugo-10m-t-5-10wh-x-2905")</f>
        <v>0.0</v>
      </c>
      <c r="E1438" s="7" t="n">
        <f>HYPERLINK("https://www.somogyi.hu/data/img/product_main_images/small/02905.jpg","https://www.somogyi.hu/data/img/product_main_images/small/02905.jpg")</f>
        <v>0.0</v>
      </c>
      <c r="F1438" s="2" t="inlineStr">
        <is>
          <t>5998312732298</t>
        </is>
      </c>
      <c r="G1438" s="4" t="inlineStr">
        <is>
          <t xml:space="preserve"> • funkció / kialakítás: telefon bekötéshez 
 • csatlakozók: 2 x (6P / 4C) 
 • aranyozott érintkező: igen 
 • kábelhossz: 10 m 
 • bliszterben: igen</t>
        </is>
      </c>
    </row>
    <row r="1439">
      <c r="A1439" s="3" t="inlineStr">
        <is>
          <t>T 5-5/WH</t>
        </is>
      </c>
      <c r="B1439" s="2" t="inlineStr">
        <is>
          <t>Home T 5-10/WH telefoncsatlakozó kábel, 6P/4C (RJ 11), dugó - dugó, fehér, 5m</t>
        </is>
      </c>
      <c r="C1439" s="1" t="n">
        <v>599.0</v>
      </c>
      <c r="D1439" s="7" t="n">
        <f>HYPERLINK("https://www.somogyi.hu/product/home-t-5-10-wh-telefoncsatlakozo-kabel-6p-4c-rj-11-dugo-dugo-feher-5m-t-5-5-wh-2910","https://www.somogyi.hu/product/home-t-5-10-wh-telefoncsatlakozo-kabel-6p-4c-rj-11-dugo-dugo-feher-5m-t-5-5-wh-2910")</f>
        <v>0.0</v>
      </c>
      <c r="E1439" s="7" t="n">
        <f>HYPERLINK("https://www.somogyi.hu/data/img/product_main_images/small/02910.jpg","https://www.somogyi.hu/data/img/product_main_images/small/02910.jpg")</f>
        <v>0.0</v>
      </c>
      <c r="F1439" s="2" t="inlineStr">
        <is>
          <t>5998312732342</t>
        </is>
      </c>
      <c r="G1439" s="4" t="inlineStr">
        <is>
          <t>Keresse a masszív kialakítással rendelkező telefonkábeleket. 
A T 5-5/WH fehér színben, 5 méteres hosszban kapható. Az kábel mindkét végén dugóval(6P/4C)  rendelkezik. Válassza a minőségi termékeket és rendeljen webáruházunkból.</t>
        </is>
      </c>
    </row>
    <row r="1440">
      <c r="A1440" s="6" t="inlineStr">
        <is>
          <t xml:space="preserve">   Audio-video kiegészítők / Pótcsengő</t>
        </is>
      </c>
      <c r="B1440" s="6" t="inlineStr">
        <is>
          <t/>
        </is>
      </c>
      <c r="C1440" s="6" t="inlineStr">
        <is>
          <t/>
        </is>
      </c>
      <c r="D1440" s="6" t="inlineStr">
        <is>
          <t/>
        </is>
      </c>
      <c r="E1440" s="6" t="inlineStr">
        <is>
          <t/>
        </is>
      </c>
      <c r="F1440" s="6" t="inlineStr">
        <is>
          <t/>
        </is>
      </c>
      <c r="G1440" s="6" t="inlineStr">
        <is>
          <t/>
        </is>
      </c>
    </row>
    <row r="1441">
      <c r="A1441" s="3" t="inlineStr">
        <is>
          <t>RINGER</t>
        </is>
      </c>
      <c r="B1441" s="2" t="inlineStr">
        <is>
          <t>Home RINGER telefon pótcsengő, univerzális, szabályozható, kikapcsolható hangjelzés</t>
        </is>
      </c>
      <c r="C1441" s="1" t="n">
        <v>4490.0</v>
      </c>
      <c r="D1441" s="7" t="n">
        <f>HYPERLINK("https://www.somogyi.hu/product/home-ringer-telefon-potcsengo-univerzalis-szabalyozhato-kikapcsolhato-hangjelzes-ringer-2945","https://www.somogyi.hu/product/home-ringer-telefon-potcsengo-univerzalis-szabalyozhato-kikapcsolhato-hangjelzes-ringer-2945")</f>
        <v>0.0</v>
      </c>
      <c r="E1441" s="7" t="n">
        <f>HYPERLINK("https://www.somogyi.hu/data/img/product_main_images/small/02945.jpg","https://www.somogyi.hu/data/img/product_main_images/small/02945.jpg")</f>
        <v>0.0</v>
      </c>
      <c r="F1441" s="2" t="inlineStr">
        <is>
          <t>5998312732694</t>
        </is>
      </c>
      <c r="G1441" s="4" t="inlineStr">
        <is>
          <t>A RINGER feltűnő hangot (95dB) és fényjelzést egyaránt kibocsátó telefoncsengő amely hagyományos, analóg telefonvonalakhoz használható. Szabályozhatjuk a készülék hangerejét, de akár ki is kapcsolhatjuk azt. A készülék tartozéka egy 1,2 méteres csatlakozó kábel. Válassza a minőségi termékeket és rendeljen webáruházunkból.</t>
        </is>
      </c>
    </row>
    <row r="1442">
      <c r="A1442" s="6" t="inlineStr">
        <is>
          <t xml:space="preserve">   Audio-video kiegészítők / Telefoncsatlakozó, telefontoldó, telefonelosztó</t>
        </is>
      </c>
      <c r="B1442" s="6" t="inlineStr">
        <is>
          <t/>
        </is>
      </c>
      <c r="C1442" s="6" t="inlineStr">
        <is>
          <t/>
        </is>
      </c>
      <c r="D1442" s="6" t="inlineStr">
        <is>
          <t/>
        </is>
      </c>
      <c r="E1442" s="6" t="inlineStr">
        <is>
          <t/>
        </is>
      </c>
      <c r="F1442" s="6" t="inlineStr">
        <is>
          <t/>
        </is>
      </c>
      <c r="G1442" s="6" t="inlineStr">
        <is>
          <t/>
        </is>
      </c>
    </row>
    <row r="1443">
      <c r="A1443" s="3" t="inlineStr">
        <is>
          <t>TS 17-2</t>
        </is>
      </c>
      <c r="B1443" s="2" t="inlineStr">
        <is>
          <t>Home TS 17-2 elosztó telefonvezetékhez, 6P/4C, 1 aljzat - 2 aljzat, fehér</t>
        </is>
      </c>
      <c r="C1443" s="1" t="n">
        <v>369.0</v>
      </c>
      <c r="D1443" s="7" t="n">
        <f>HYPERLINK("https://www.somogyi.hu/product/home-ts-17-2-eloszto-telefonvezetekhez-6p-4c-1-aljzat-2-aljzat-feher-ts-17-2-5232","https://www.somogyi.hu/product/home-ts-17-2-eloszto-telefonvezetekhez-6p-4c-1-aljzat-2-aljzat-feher-ts-17-2-5232")</f>
        <v>0.0</v>
      </c>
      <c r="E1443" s="7" t="n">
        <f>HYPERLINK("https://www.somogyi.hu/data/img/product_main_images/small/05232.jpg","https://www.somogyi.hu/data/img/product_main_images/small/05232.jpg")</f>
        <v>0.0</v>
      </c>
      <c r="F1443" s="2" t="inlineStr">
        <is>
          <t>5998312746196</t>
        </is>
      </c>
      <c r="G1443" s="4" t="inlineStr">
        <is>
          <t>A TS 17-2 egy praktikus kialakítású fehér színű telefonelosztó, amely 1 db aljzattal és plusz 2 db aljzattal rendelkezik. A 6P/4C típusú dugók csatlakoztatására alkalmas. Válassza a minőségi termékeket és rendeljen webáruházunkból.</t>
        </is>
      </c>
    </row>
    <row r="1444">
      <c r="A1444" s="3" t="inlineStr">
        <is>
          <t>TS 15WH/X</t>
        </is>
      </c>
      <c r="B1444" s="2" t="inlineStr">
        <is>
          <t>Toldó telefonvezetékhez, 6P4C, aljzat-aljzat</t>
        </is>
      </c>
      <c r="C1444" s="1" t="n">
        <v>349.0</v>
      </c>
      <c r="D1444" s="7" t="n">
        <f>HYPERLINK("https://www.somogyi.hu/product/toldo-telefonvezetekhez-6p4c-aljzat-aljzat-ts-15wh-x-2935","https://www.somogyi.hu/product/toldo-telefonvezetekhez-6p4c-aljzat-aljzat-ts-15wh-x-2935")</f>
        <v>0.0</v>
      </c>
      <c r="E1444" s="7" t="n">
        <f>HYPERLINK("https://www.somogyi.hu/data/img/product_main_images/small/02935.jpg","https://www.somogyi.hu/data/img/product_main_images/small/02935.jpg")</f>
        <v>0.0</v>
      </c>
      <c r="F1444" s="2" t="inlineStr">
        <is>
          <t>5998312732595</t>
        </is>
      </c>
      <c r="G1444" s="4" t="inlineStr">
        <is>
          <t xml:space="preserve"> • funkció: toldó 
 • csatlakozó: aljzat / aljzat 
 • pólus / kontaktus: 6P / 4C 
 • szín: fehér 
 • bliszterben: igen</t>
        </is>
      </c>
    </row>
    <row r="1445">
      <c r="A1445" s="3" t="inlineStr">
        <is>
          <t>TS 16-2WH/X</t>
        </is>
      </c>
      <c r="B1445" s="2" t="inlineStr">
        <is>
          <t>Elosztó telefonvezetékhez, 6P4C, 1 dugó-2 aljzat</t>
        </is>
      </c>
      <c r="C1445" s="1" t="n">
        <v>429.0</v>
      </c>
      <c r="D1445" s="7" t="n">
        <f>HYPERLINK("https://www.somogyi.hu/product/eloszto-telefonvezetekhez-6p4c-1-dugo-2-aljzat-ts-16-2wh-x-2936","https://www.somogyi.hu/product/eloszto-telefonvezetekhez-6p4c-1-dugo-2-aljzat-ts-16-2wh-x-2936")</f>
        <v>0.0</v>
      </c>
      <c r="E1445" s="7" t="n">
        <f>HYPERLINK("https://www.somogyi.hu/data/img/product_main_images/small/02936.jpg","https://www.somogyi.hu/data/img/product_main_images/small/02936.jpg")</f>
        <v>0.0</v>
      </c>
      <c r="F1445" s="2" t="inlineStr">
        <is>
          <t>5998312732601</t>
        </is>
      </c>
      <c r="G1445" s="4" t="inlineStr">
        <is>
          <t xml:space="preserve"> • funkció: elosztó 
 • csatlakozó: dugó / 2 x aljzat 
 • pólus / kontaktus: 6P / 4C 
 • szín: fehér 
 • bliszterben: igen</t>
        </is>
      </c>
    </row>
    <row r="1446">
      <c r="A1446" s="3" t="inlineStr">
        <is>
          <t>TS 1MWH/X</t>
        </is>
      </c>
      <c r="B1446" s="2" t="inlineStr">
        <is>
          <t>Telefon fali aljzat, 1x6P4C</t>
        </is>
      </c>
      <c r="C1446" s="1" t="n">
        <v>909.0</v>
      </c>
      <c r="D1446" s="7" t="n">
        <f>HYPERLINK("https://www.somogyi.hu/product/telefon-fali-aljzat-1x6p4c-ts-1mwh-x-2938","https://www.somogyi.hu/product/telefon-fali-aljzat-1x6p4c-ts-1mwh-x-2938")</f>
        <v>0.0</v>
      </c>
      <c r="E1446" s="7" t="n">
        <f>HYPERLINK("https://www.somogyi.hu/data/img/product_main_images/small/02938.jpg","https://www.somogyi.hu/data/img/product_main_images/small/02938.jpg")</f>
        <v>0.0</v>
      </c>
      <c r="F1446" s="2" t="inlineStr">
        <is>
          <t>5998312732625</t>
        </is>
      </c>
      <c r="G1446" s="4" t="inlineStr">
        <is>
          <t xml:space="preserve"> • funkció: fali aljzat 
 • csatlakozó: aljzat 
 • pólus / kontaktus: 6P / 4C 
 • szín: fehér 
 • bekötés: csavaros 
 • bliszterben: igen</t>
        </is>
      </c>
    </row>
    <row r="1447">
      <c r="A1447" s="3" t="inlineStr">
        <is>
          <t>TS 15/WH</t>
        </is>
      </c>
      <c r="B1447" s="2" t="inlineStr">
        <is>
          <t>Home TS 15/WH toldó telefonvezetékhez, 6P/4C, aljzat -aljzat, fehér</t>
        </is>
      </c>
      <c r="C1447" s="1" t="n">
        <v>239.0</v>
      </c>
      <c r="D1447" s="7" t="n">
        <f>HYPERLINK("https://www.somogyi.hu/product/home-ts-15-wh-toldo-telefonvezetekhez-6p-4c-aljzat-aljzat-feher-ts-15-wh-2902","https://www.somogyi.hu/product/home-ts-15-wh-toldo-telefonvezetekhez-6p-4c-aljzat-aljzat-feher-ts-15-wh-2902")</f>
        <v>0.0</v>
      </c>
      <c r="E1447" s="7" t="n">
        <f>HYPERLINK("https://www.somogyi.hu/data/img/product_main_images/small/02902.jpg","https://www.somogyi.hu/data/img/product_main_images/small/02902.jpg")</f>
        <v>0.0</v>
      </c>
      <c r="F1447" s="2" t="inlineStr">
        <is>
          <t>5998312732267</t>
        </is>
      </c>
      <c r="G1447" s="4" t="inlineStr">
        <is>
          <t>A TS 15/ WH egy rendkívül praktikus fehér színű telefontoldó, amely 2 db aljzatból áll. Használható a 6P/4C típusú dugókhoz. Válassza a minőségi termékeket és rendeljen webáruházunkból.</t>
        </is>
      </c>
    </row>
    <row r="1448">
      <c r="A1448" s="3" t="inlineStr">
        <is>
          <t>TS 1M/WH</t>
        </is>
      </c>
      <c r="B1448" s="2" t="inlineStr">
        <is>
          <t>Home TS 1M/WH telefon fali aljzat, 6P/4C, öntapadós, csavarozható, fehér</t>
        </is>
      </c>
      <c r="C1448" s="1" t="n">
        <v>799.0</v>
      </c>
      <c r="D1448" s="7" t="n">
        <f>HYPERLINK("https://www.somogyi.hu/product/home-ts-1m-wh-telefon-fali-aljzat-6p-4c-ontapados-csavarozhato-feher-ts-1m-wh-2911","https://www.somogyi.hu/product/home-ts-1m-wh-telefon-fali-aljzat-6p-4c-ontapados-csavarozhato-feher-ts-1m-wh-2911")</f>
        <v>0.0</v>
      </c>
      <c r="E1448" s="7" t="n">
        <f>HYPERLINK("https://www.somogyi.hu/data/img/product_main_images/small/02911.jpg","https://www.somogyi.hu/data/img/product_main_images/small/02911.jpg")</f>
        <v>0.0</v>
      </c>
      <c r="F1448" s="2" t="inlineStr">
        <is>
          <t>5998312732359</t>
        </is>
      </c>
      <c r="G1448" s="4" t="inlineStr">
        <is>
          <t>A TS 1M/WH egy praktikus kialakítású fehér színű telefon fali aljzat. A termék a 6P/4C típusú dugó csatlakoztatására alkalmas. A fali aljzat öntapadós, illetve csavarozható kivitelben kapható. Válassza a minőségi termékeket és rendeljen webáruházunkból.</t>
        </is>
      </c>
    </row>
    <row r="1449">
      <c r="A1449" s="3" t="inlineStr">
        <is>
          <t>TS 51PRO</t>
        </is>
      </c>
      <c r="B1449" s="2" t="inlineStr">
        <is>
          <t>Home TS 51 átmenő dugó, 8P/8C (RJ 45), nyitott front, gyors</t>
        </is>
      </c>
      <c r="C1449" s="1" t="n">
        <v>85.0</v>
      </c>
      <c r="D1449" s="7" t="n">
        <f>HYPERLINK("https://www.somogyi.hu/product/home-ts-51-atmeno-dugo-8p-8c-rj-45-nyitott-front-gyors-ts-51pro-17857","https://www.somogyi.hu/product/home-ts-51-atmeno-dugo-8p-8c-rj-45-nyitott-front-gyors-ts-51pro-17857")</f>
        <v>0.0</v>
      </c>
      <c r="E1449" s="7" t="n">
        <f>HYPERLINK("https://www.somogyi.hu/data/img/product_main_images/small/17857.jpg","https://www.somogyi.hu/data/img/product_main_images/small/17857.jpg")</f>
        <v>0.0</v>
      </c>
      <c r="F1449" s="2" t="inlineStr">
        <is>
          <t>5999084958794</t>
        </is>
      </c>
      <c r="G1449" s="4" t="inlineStr">
        <is>
          <t xml:space="preserve"> • nyitott frontoldalú 
 • gyorsabb munka, kevesebb hiba, jobb kontaktus 
 • hagyományos sajtoló fogókkal is használható</t>
        </is>
      </c>
    </row>
    <row r="1450">
      <c r="A1450" s="3" t="inlineStr">
        <is>
          <t>TS 52/WH</t>
        </is>
      </c>
      <c r="B1450" s="2" t="inlineStr">
        <is>
          <t>Home TS 52/WH törésgátló RJ-45 dugóhoz, 8P/8C, fehér</t>
        </is>
      </c>
      <c r="C1450" s="1" t="n">
        <v>59.0</v>
      </c>
      <c r="D1450" s="7" t="n">
        <f>HYPERLINK("https://www.somogyi.hu/product/home-ts-52-wh-toresgatlo-rj-45-dugohoz-8p-8c-feher-ts-52-wh-4737","https://www.somogyi.hu/product/home-ts-52-wh-toresgatlo-rj-45-dugohoz-8p-8c-feher-ts-52-wh-4737")</f>
        <v>0.0</v>
      </c>
      <c r="E1450" s="7" t="n">
        <f>HYPERLINK("https://www.somogyi.hu/data/img/product_main_images/small/04737.jpg","https://www.somogyi.hu/data/img/product_main_images/small/04737.jpg")</f>
        <v>0.0</v>
      </c>
      <c r="F1450" s="2" t="inlineStr">
        <is>
          <t>5998312741818</t>
        </is>
      </c>
      <c r="G1450" s="4" t="inlineStr">
        <is>
          <t>A TS 52/WH egy rendkívül praktikus fehér színű törésgátló RJ-45 dugóhoz (8P/8C). A termék előnye, hogy védi a dugót a sérüléstől és szennyeződésektől, továbbá megakadályozza a vezeték megtörését. Válassza a minőségi termékeket és rendeljen webáruházunkból.</t>
        </is>
      </c>
    </row>
    <row r="1451">
      <c r="A1451" s="3" t="inlineStr">
        <is>
          <t>TS 51</t>
        </is>
      </c>
      <c r="B1451" s="2" t="inlineStr">
        <is>
          <t>Home TS 51 moduláris dugó, 8P/8C (RJ 45), préselhető</t>
        </is>
      </c>
      <c r="C1451" s="1" t="n">
        <v>69.0</v>
      </c>
      <c r="D1451" s="7" t="n">
        <f>HYPERLINK("https://www.somogyi.hu/product/home-ts-51-modularis-dugo-8p-8c-rj-45-preselheto-ts-51-4709","https://www.somogyi.hu/product/home-ts-51-modularis-dugo-8p-8c-rj-45-preselheto-ts-51-4709")</f>
        <v>0.0</v>
      </c>
      <c r="E1451" s="7" t="n">
        <f>HYPERLINK("https://www.somogyi.hu/data/img/product_main_images/small/04709.jpg","https://www.somogyi.hu/data/img/product_main_images/small/04709.jpg")</f>
        <v>0.0</v>
      </c>
      <c r="F1451" s="2" t="inlineStr">
        <is>
          <t>5998312741542</t>
        </is>
      </c>
      <c r="G1451" s="4" t="inlineStr">
        <is>
          <t>A TS 51 egy préselhető típusú telefondugó [8P/8C (RJ 45)]. A termék külön ajánlott az ISDN és számítógép-hálózat rendszerekhez. Válassza a minőségi termékeket és rendeljen webáruházunkból.</t>
        </is>
      </c>
    </row>
    <row r="1452">
      <c r="A1452" s="3" t="inlineStr">
        <is>
          <t>TS 13</t>
        </is>
      </c>
      <c r="B1452" s="2" t="inlineStr">
        <is>
          <t>Home TS 13 telefondugó, 6P/4C (RJ 11), préselhető</t>
        </is>
      </c>
      <c r="C1452" s="1" t="n">
        <v>27.0</v>
      </c>
      <c r="D1452" s="7" t="n">
        <f>HYPERLINK("https://www.somogyi.hu/product/home-ts-13-telefondugo-6p-4c-rj-11-preselheto-ts-13-1930","https://www.somogyi.hu/product/home-ts-13-telefondugo-6p-4c-rj-11-preselheto-ts-13-1930")</f>
        <v>0.0</v>
      </c>
      <c r="E1452" s="7" t="n">
        <f>HYPERLINK("https://www.somogyi.hu/data/img/product_main_images/small/01930.jpg","https://www.somogyi.hu/data/img/product_main_images/small/01930.jpg")</f>
        <v>0.0</v>
      </c>
      <c r="F1452" s="2" t="inlineStr">
        <is>
          <t>5998312705339</t>
        </is>
      </c>
      <c r="G1452" s="4" t="inlineStr">
        <is>
          <t>A TS 13 egy préselhető típusú telefondugó [6P/4C (RJ 11)]. Válassza a minőségi termékeket és rendeljen webáruházunkból.</t>
        </is>
      </c>
    </row>
    <row r="1453">
      <c r="A1453" s="3" t="inlineStr">
        <is>
          <t>TS 17-2X</t>
        </is>
      </c>
      <c r="B1453" s="2" t="inlineStr">
        <is>
          <t>Elosztó telefonvezetékhez, 6P4C, 1 aljzat-2 aljzat</t>
        </is>
      </c>
      <c r="C1453" s="1" t="n">
        <v>479.0</v>
      </c>
      <c r="D1453" s="7" t="n">
        <f>HYPERLINK("https://www.somogyi.hu/product/eloszto-telefonvezetekhez-6p4c-1-aljzat-2-aljzat-ts-17-2x-5459","https://www.somogyi.hu/product/eloszto-telefonvezetekhez-6p4c-1-aljzat-2-aljzat-ts-17-2x-5459")</f>
        <v>0.0</v>
      </c>
      <c r="E1453" s="7" t="n">
        <f>HYPERLINK("https://www.somogyi.hu/data/img/product_main_images/small/05459.jpg","https://www.somogyi.hu/data/img/product_main_images/small/05459.jpg")</f>
        <v>0.0</v>
      </c>
      <c r="F1453" s="2" t="inlineStr">
        <is>
          <t>5998312748329</t>
        </is>
      </c>
      <c r="G1453" s="4" t="inlineStr">
        <is>
          <t xml:space="preserve"> • funkció: elosztó 
 • csatlakozó: aljzat / 2 x aljzat 
 • pólus / kontaktus: 6P / 4C 
 • szín: fehér 
 • bliszterben: igen</t>
        </is>
      </c>
    </row>
    <row r="1454">
      <c r="A1454" s="3" t="inlineStr">
        <is>
          <t>TS 13X</t>
        </is>
      </c>
      <c r="B1454" s="2" t="inlineStr">
        <is>
          <t>Telefondugó, 6P4C, RJ11</t>
        </is>
      </c>
      <c r="C1454" s="1" t="n">
        <v>239.0</v>
      </c>
      <c r="D1454" s="7" t="n">
        <f>HYPERLINK("https://www.somogyi.hu/product/telefondugo-6p4c-rj11-ts-13x-2281","https://www.somogyi.hu/product/telefondugo-6p4c-rj11-ts-13x-2281")</f>
        <v>0.0</v>
      </c>
      <c r="E1454" s="7" t="n">
        <f>HYPERLINK("https://www.somogyi.hu/data/img/product_main_images/small/02281.jpg","https://www.somogyi.hu/data/img/product_main_images/small/02281.jpg")</f>
        <v>0.0</v>
      </c>
      <c r="F1454" s="2" t="inlineStr">
        <is>
          <t>5998312725474</t>
        </is>
      </c>
      <c r="G1454" s="4" t="inlineStr">
        <is>
          <t xml:space="preserve"> • funkció: csatlakozó 
 • csatlakozó: dugó 
 • pólus / kontaktus: 6P / 4C 
 • bekötés: préselhető 
 • bliszterben: igen</t>
        </is>
      </c>
    </row>
    <row r="1455">
      <c r="A1455" s="3" t="inlineStr">
        <is>
          <t>TT 1-1</t>
        </is>
      </c>
      <c r="B1455" s="2" t="inlineStr">
        <is>
          <t>Home TT 1-1 toldó telefonvezetékhez, 8P/8C, aljzat - aljzat, fehér</t>
        </is>
      </c>
      <c r="C1455" s="1" t="n">
        <v>479.0</v>
      </c>
      <c r="D1455" s="7" t="n">
        <f>HYPERLINK("https://www.somogyi.hu/product/home-tt-1-1-toldo-telefonvezetekhez-8p-8c-aljzat-aljzat-feher-tt-1-1-5234","https://www.somogyi.hu/product/home-tt-1-1-toldo-telefonvezetekhez-8p-8c-aljzat-aljzat-feher-tt-1-1-5234")</f>
        <v>0.0</v>
      </c>
      <c r="E1455" s="7" t="n">
        <f>HYPERLINK("https://www.somogyi.hu/data/img/product_main_images/small/05234.jpg","https://www.somogyi.hu/data/img/product_main_images/small/05234.jpg")</f>
        <v>0.0</v>
      </c>
      <c r="F1455" s="2" t="inlineStr">
        <is>
          <t>5998312746219</t>
        </is>
      </c>
      <c r="G1455" s="4" t="inlineStr">
        <is>
          <t>A TT 1-1 egy rendkívül praktikus fehér színű telefontoldó, amely 2 db aljzatból áll. Használható a 8P/8C típusú dugókhoz. Válassza a minőségi termékeket és rendeljen webáruházunkból.</t>
        </is>
      </c>
    </row>
    <row r="1456">
      <c r="A1456" s="3" t="inlineStr">
        <is>
          <t>TS 16-2/WH</t>
        </is>
      </c>
      <c r="B1456" s="2" t="inlineStr">
        <is>
          <t>Home TS 16-2/WH elosztó telefonvezetékhez, 6P/4C, 1 dugó - 2 aljzat, fehér</t>
        </is>
      </c>
      <c r="C1456" s="1" t="n">
        <v>319.0</v>
      </c>
      <c r="D1456" s="7" t="n">
        <f>HYPERLINK("https://www.somogyi.hu/product/home-ts-16-2-wh-eloszto-telefonvezetekhez-6p-4c-1-dugo-2-aljzat-feher-ts-16-2-wh-2903","https://www.somogyi.hu/product/home-ts-16-2-wh-eloszto-telefonvezetekhez-6p-4c-1-dugo-2-aljzat-feher-ts-16-2-wh-2903")</f>
        <v>0.0</v>
      </c>
      <c r="E1456" s="7" t="n">
        <f>HYPERLINK("https://www.somogyi.hu/data/img/product_main_images/small/02903.jpg","https://www.somogyi.hu/data/img/product_main_images/small/02903.jpg")</f>
        <v>0.0</v>
      </c>
      <c r="F1456" s="2" t="inlineStr">
        <is>
          <t>5998312732274</t>
        </is>
      </c>
      <c r="G1456" s="4" t="inlineStr">
        <is>
          <t>A TS 16-2/WH egy praktikus kialakítású fehér színű telefonelosztó, amely 1 db dugóval és 2 db aljzattal rendelkezik. A 6P/4C típusú dugók csatlakoztatására alkalmas. Válassza a minőségi termékeket és rendeljen webáruházunkból.</t>
        </is>
      </c>
    </row>
    <row r="1457">
      <c r="A1457" s="6" t="inlineStr">
        <is>
          <t xml:space="preserve">   Jármű, járműfelszerelés / Feszültségátalakító, akkumulátortöltő</t>
        </is>
      </c>
      <c r="B1457" s="6" t="inlineStr">
        <is>
          <t/>
        </is>
      </c>
      <c r="C1457" s="6" t="inlineStr">
        <is>
          <t/>
        </is>
      </c>
      <c r="D1457" s="6" t="inlineStr">
        <is>
          <t/>
        </is>
      </c>
      <c r="E1457" s="6" t="inlineStr">
        <is>
          <t/>
        </is>
      </c>
      <c r="F1457" s="6" t="inlineStr">
        <is>
          <t/>
        </is>
      </c>
      <c r="G1457" s="6" t="inlineStr">
        <is>
          <t/>
        </is>
      </c>
    </row>
    <row r="1458">
      <c r="A1458" s="3" t="inlineStr">
        <is>
          <t>SMC 38</t>
        </is>
      </c>
      <c r="B1458" s="2" t="inlineStr">
        <is>
          <t>SAL SMC 38 smart akkumulátortöltő, 6 - 12 V, 1,2 - 120 Ah, 0,8 - 3,8 A, smart töltőprogram, feszültségmérő LCD</t>
        </is>
      </c>
      <c r="C1458" s="1" t="n">
        <v>16490.0</v>
      </c>
      <c r="D1458" s="7" t="n">
        <f>HYPERLINK("https://www.somogyi.hu/product/sal-smc-38-smart-akkumulatortolto-6-12-v-1-2-120-ah-0-8-3-8-a-smart-toltoprogram-feszultsegmero-lcd-smc-38-16185","https://www.somogyi.hu/product/sal-smc-38-smart-akkumulatortolto-6-12-v-1-2-120-ah-0-8-3-8-a-smart-toltoprogram-feszultsegmero-lcd-smc-38-16185")</f>
        <v>0.0</v>
      </c>
      <c r="E1458" s="7" t="n">
        <f>HYPERLINK("https://www.somogyi.hu/data/img/product_main_images/small/16185.jpg","https://www.somogyi.hu/data/img/product_main_images/small/16185.jpg")</f>
        <v>0.0</v>
      </c>
      <c r="F1458" s="2" t="inlineStr">
        <is>
          <t>5999084942175</t>
        </is>
      </c>
      <c r="G1458" s="4" t="inlineStr">
        <is>
          <t>Az SMC 38 SMART akkumulátor töltő széles körben alkalmazható, autó, motor, hajó, munkagép akkumulátor töltésére. Alkalmas hagyományos ólom- savas akkumulátorokhoz és gondozásmentes zselés vagy üvegszövet típusokhoz. 
A készülék 5 lépcsős automata SMART töltőprogrammal ellátott, így több szintű, állandó áramú vagy kímélő töltést végezhet. A töltő- csatlakozó cserélhető csipeszre vagy gyűrűs sarura. A kék háttérvilágítással ellátott LCD kijelzőn jól láthatóak az adatok. 
Az akkumulátor töltővel akár regenerálhatja az elöregedett akkumulátorokat is. 
A biztonságos használat érdekében fordított polaritás elleni védelemmel, rövidzárlat elleni védelemmel, hibás akkumulátor elleni védelemmel és túlmelegedés elleni védelemmel ellátott. 
Tápellátása hálózati csatlakozó kábellel történik.</t>
        </is>
      </c>
    </row>
    <row r="1459">
      <c r="A1459" s="3" t="inlineStr">
        <is>
          <t>SAI 1000USB</t>
        </is>
      </c>
      <c r="B1459" s="2" t="inlineStr">
        <is>
          <t>SAL SAI 1000USB feszültségátalakító, 500 W, inverter, 500 mA USB töltő, gyermekzár</t>
        </is>
      </c>
      <c r="C1459" s="1" t="n">
        <v>21390.0</v>
      </c>
      <c r="D1459" s="7" t="n">
        <f>HYPERLINK("https://www.somogyi.hu/product/sal-sai-1000usb-feszultsegatalakito-500-w-inverter-500-ma-usb-tolto-gyermekzar-sai-1000usb-15520","https://www.somogyi.hu/product/sal-sai-1000usb-feszultsegatalakito-500-w-inverter-500-ma-usb-tolto-gyermekzar-sai-1000usb-15520")</f>
        <v>0.0</v>
      </c>
      <c r="E1459" s="7" t="n">
        <f>HYPERLINK("https://www.somogyi.hu/data/img/product_main_images/small/15520.jpg","https://www.somogyi.hu/data/img/product_main_images/small/15520.jpg")</f>
        <v>0.0</v>
      </c>
      <c r="F1459" s="2" t="inlineStr">
        <is>
          <t>5999084935542</t>
        </is>
      </c>
      <c r="G1459" s="4" t="inlineStr">
        <is>
          <t>Szeretne áramot még ott is, ahol csak a járműve 12V-os aljzata érhető el? A SAL SAI 1000USB feszültségátalakító a tökéletes megoldás azok számára, akik úton vannak, és nem akarnak lemondani az elektromos készülékeik használatáról. Ez az eszköz 12 V DC-t alakít át 230 V AC-ra (50Hz), így kirándulásokon, hajóutakon vagy kempingezés közben is biztosítja a szükséges hálózati áramellátást.
Az 500 wattos folyamatos és 1000 wattos csúcsterhelhetőségével a SAL SAI 1000USB tökéletes választás különböző elektromos eszközök, mint például laptopok vagy kisebb háztartási gépek üzemeltetésére. Biztonsági funkciói, mint a túlterhelés, túlmelegedés, rövidzárlat és akkumulátor kimerülése elleni védelem, garantálják, hogy készülékei mindig biztonságban legyenek. A gyermekzár funkció gondoskodik arról, hogy a legkisebbek is biztonságban maradjanak.
Az integrált USB töltőaljzat segítségével kisebb eszközei, mint a mobiltelefonok vagy a táblagépek is közvetlenül tölthetőek. A SAL SAI 1000USB feszültségátalakítóval nem kell kompromisszumot kötnie a mobil életmód és az elektromos kényelem között. Vigye magával az energiát, bárhová is megy!</t>
        </is>
      </c>
    </row>
    <row r="1460">
      <c r="A1460" s="3" t="inlineStr">
        <is>
          <t>SAI4000LED</t>
        </is>
      </c>
      <c r="B1460" s="2" t="inlineStr">
        <is>
          <t>SAL SAI4000LED feszültségátalakító, 2000 W/ 4000 W, módosított szinuszos, digitális kijelző, LED visszajelző, telterhelés, túlfeszültség, rövidzárlat, kimerülés és túlemelegedés védelem</t>
        </is>
      </c>
      <c r="C1460" s="1" t="n">
        <v>87690.0</v>
      </c>
      <c r="D1460" s="7" t="n">
        <f>HYPERLINK("https://www.somogyi.hu/product/sal-sai4000led-feszultsegatalakito-2000-w-4000-w-modositott-szinuszos-digitalis-kijelzo-led-visszajelzo-telterheles-tulfeszultseg-rovidzarlat-kimerules-es-tulemelegedes-vedelem-sai4000led-18406","https://www.somogyi.hu/product/sal-sai4000led-feszultsegatalakito-2000-w-4000-w-modositott-szinuszos-digitalis-kijelzo-led-visszajelzo-telterheles-tulfeszultseg-rovidzarlat-kimerules-es-tulemelegedes-vedelem-sai4000led-18406")</f>
        <v>0.0</v>
      </c>
      <c r="E1460" s="7" t="n">
        <f>HYPERLINK("https://www.somogyi.hu/data/img/product_main_images/small/18406.jpg","https://www.somogyi.hu/data/img/product_main_images/small/18406.jpg")</f>
        <v>0.0</v>
      </c>
      <c r="F1460" s="2" t="inlineStr">
        <is>
          <t>5999084964245</t>
        </is>
      </c>
      <c r="G1460" s="4" t="inlineStr">
        <is>
          <t>Keres egy megbízható megoldást, hogy hagyományos elektromos eszközeit bárhol használhassa? A Home SAI4000LED feszültségátalakítóval könnyedén átalakíthatja a 12V DC-t 230V AC módosított szinuszos hálózati feszültséggé, így a járműben, hajón vagy kempingezés közben is élvezheti az otthoni kényelmet.
Ez a készülék ~2000 Watt folyamatos és ~4000 Watt csúcsterhelhetőséggel rendelkezik, digitális kijelzőjén pedig egyszerűen nyomon követheti az akkumulátor DC feszültségét és a kimenő AC feszültséget.
Nem csak erős, hanem biztonságos is; túlterhelés, túlmelegedés, rövidzárlat, túlfeszültség és akkumulátor kimerülése elleni védelemmel ellátott, továbbá gyermekzár is található a hálózati aljzatban. A készülékhez mellékelt 2x25 mm2 / ~50 cm akkumulátor kábellel könnyedén csatlakoztathatja 12V-os akkumulátorához.
Bárhol is legyen, ne hagyja, hogy az energiaellátás korlátozza a technológiai igényeit. A Home SAI4000LED feszültségátalakítóval otthona minden kényelmét magával viheti.</t>
        </is>
      </c>
    </row>
    <row r="1461">
      <c r="A1461" s="3" t="inlineStr">
        <is>
          <t>SA 023</t>
        </is>
      </c>
      <c r="B1461" s="2" t="inlineStr">
        <is>
          <t>SAL SA 023 szivargyújtó elosztó, 4 készülék, ragasztható, 3 szivargyújtó max. 5A, USB max 1000 mA</t>
        </is>
      </c>
      <c r="C1461" s="1" t="n">
        <v>3590.0</v>
      </c>
      <c r="D1461" s="7" t="n">
        <f>HYPERLINK("https://www.somogyi.hu/product/sal-sa-023-szivargyujto-eloszto-4-keszulek-ragaszthato-3-szivargyujto-max-5a-usb-max-1000-ma-sa-023-8545","https://www.somogyi.hu/product/sal-sa-023-szivargyujto-eloszto-4-keszulek-ragaszthato-3-szivargyujto-max-5a-usb-max-1000-ma-sa-023-8545")</f>
        <v>0.0</v>
      </c>
      <c r="E1461" s="7" t="n">
        <f>HYPERLINK("https://www.somogyi.hu/data/img/product_main_images/small/08545.jpg","https://www.somogyi.hu/data/img/product_main_images/small/08545.jpg")</f>
        <v>0.0</v>
      </c>
      <c r="F1461" s="2" t="inlineStr">
        <is>
          <t>5998312774403</t>
        </is>
      </c>
      <c r="G1461" s="4" t="inlineStr">
        <is>
          <t>Keresse Ön is a praktikus kialakítású SA 023-as autós feszültségelosztót. Előnye, hogy egyidejűleg négy készülék működtetését is lehetővé teszi. A feszültségelosztó működését egy LED visszajelző mutatja. Az feszültségelosztó rögzítését a kétoldalú öntapadó ragasztó könnyíti meg. 
Bemenete: 12-24 V DC. Kimenete: 3 x 12 V DC / max. 5 A. USB kimenet: 5 V / max. 1000 mA. Válassza a minőségi termékeket és rendeljen webáruházunkból.</t>
        </is>
      </c>
    </row>
    <row r="1462">
      <c r="A1462" s="3" t="inlineStr">
        <is>
          <t>SAI 500TS</t>
        </is>
      </c>
      <c r="B1462" s="2" t="inlineStr">
        <is>
          <t>SAL SAI 500TS tiszta szinuszos feszültségátalakító, 500 W, inverter, 2,1 A USB gyorstöltő, gyermekzár</t>
        </is>
      </c>
      <c r="C1462" s="1" t="n">
        <v>44490.0</v>
      </c>
      <c r="D1462" s="7" t="n">
        <f>HYPERLINK("https://www.somogyi.hu/product/sal-sai-500ts-tiszta-szinuszos-feszultsegatalakito-500-w-inverter-2-1-a-usb-gyorstolto-gyermekzar-sai-500ts-17499","https://www.somogyi.hu/product/sal-sai-500ts-tiszta-szinuszos-feszultsegatalakito-500-w-inverter-2-1-a-usb-gyorstolto-gyermekzar-sai-500ts-17499")</f>
        <v>0.0</v>
      </c>
      <c r="E1462" s="7" t="n">
        <f>HYPERLINK("https://www.somogyi.hu/data/img/product_main_images/small/17499.jpg","https://www.somogyi.hu/data/img/product_main_images/small/17499.jpg")</f>
        <v>0.0</v>
      </c>
      <c r="F1462" s="2" t="inlineStr">
        <is>
          <t>5999084955212</t>
        </is>
      </c>
      <c r="G1462" s="4" t="inlineStr">
        <is>
          <t>A SAI 500TS Feszültség átalakító tiszta szinuszos hálózati feszültséget állít elő, ha rendelkezésre áll 12 V DC. Előnye, hogy alkalmazható járműben, hajón, kempingben. Kb.500 W folyamatos terhelhetőség, illetve 1000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63">
      <c r="A1463" s="3" t="inlineStr">
        <is>
          <t>SAI 1000TS</t>
        </is>
      </c>
      <c r="B1463" s="2" t="inlineStr">
        <is>
          <t>SAL SAI 1000TS tiszta szinuszos feszültségátalakító, 1000 W, inverter, 2,1 A USB gyorstöltő, gyermekzár</t>
        </is>
      </c>
      <c r="C1463" s="1" t="n">
        <v>90290.0</v>
      </c>
      <c r="D1463" s="7" t="n">
        <f>HYPERLINK("https://www.somogyi.hu/product/sal-sai-1000ts-tiszta-szinuszos-feszultsegatalakito-1000-w-inverter-2-1-a-usb-gyorstolto-gyermekzar-sai-1000ts-17498","https://www.somogyi.hu/product/sal-sai-1000ts-tiszta-szinuszos-feszultsegatalakito-1000-w-inverter-2-1-a-usb-gyorstolto-gyermekzar-sai-1000ts-17498")</f>
        <v>0.0</v>
      </c>
      <c r="E1463" s="7" t="n">
        <f>HYPERLINK("https://www.somogyi.hu/data/img/product_main_images/small/17498.jpg","https://www.somogyi.hu/data/img/product_main_images/small/17498.jpg")</f>
        <v>0.0</v>
      </c>
      <c r="F1463" s="2" t="inlineStr">
        <is>
          <t>5999084955205</t>
        </is>
      </c>
      <c r="G1463" s="4" t="inlineStr">
        <is>
          <t>A SAI 1000TS Feszültség átalakító tiszta szinuszos hálózati feszültséget állít elő, ha rendelkezésre áll 12 V DC. Előnye, hogy alkalmazható járműben, hajón, kempingben. Kb.1000 W folyamatos terhelhetőség, illetve 2000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64">
      <c r="A1464" s="3" t="inlineStr">
        <is>
          <t>SAI 600USB</t>
        </is>
      </c>
      <c r="B1464" s="2" t="inlineStr">
        <is>
          <t>SAL SAI 600USB feszültségátalakító, 300 W, inverter, 500 mA USB töltő, gyermekzár</t>
        </is>
      </c>
      <c r="C1464" s="1" t="n">
        <v>14390.0</v>
      </c>
      <c r="D1464" s="7" t="n">
        <f>HYPERLINK("https://www.somogyi.hu/product/sal-sai-600usb-feszultsegatalakito-300-w-inverter-500-ma-usb-tolto-gyermekzar-sai-600usb-15519","https://www.somogyi.hu/product/sal-sai-600usb-feszultsegatalakito-300-w-inverter-500-ma-usb-tolto-gyermekzar-sai-600usb-15519")</f>
        <v>0.0</v>
      </c>
      <c r="E1464" s="7" t="n">
        <f>HYPERLINK("https://www.somogyi.hu/data/img/product_main_images/small/15519.jpg","https://www.somogyi.hu/data/img/product_main_images/small/15519.jpg")</f>
        <v>0.0</v>
      </c>
      <c r="F1464" s="2" t="inlineStr">
        <is>
          <t>5999084935535</t>
        </is>
      </c>
      <c r="G1464" s="4" t="inlineStr">
        <is>
          <t>A SAI 600USB feszültségátalakító hálózati feszültséget állít elő, ha rendelkezésére áll 12 V. Előnye, hogy alkalmazható járműben, hajón, kempingben. Kb.300 W folyamatos terhelhetőség, illetve 600 W csúcsterhelhetőség jellemzi. A készüléken USB töltőaljzat is található. A hálózati aljzat gyermekzárral van ellátva. Válassza a minőségi termékeket és rendeljen webáruházunkból!</t>
        </is>
      </c>
    </row>
    <row r="1465">
      <c r="A1465" s="3" t="inlineStr">
        <is>
          <t>SAIC1000TS</t>
        </is>
      </c>
      <c r="B1465" s="2" t="inlineStr">
        <is>
          <t>SAL SAIC1000TS feszültségátalakító, ~1000 W névleges telj., tiszta szinuszos, 2 védőérintkezős aljzat, szünetmentes tápegység, USB, visszajelző LED, lágyindítás</t>
        </is>
      </c>
      <c r="C1465" s="1" t="n">
        <v>100990.0</v>
      </c>
      <c r="D1465" s="7" t="n">
        <f>HYPERLINK("https://www.somogyi.hu/product/sal-saic1000ts-feszultsegatalakito-1000-w-nevleges-telj-tiszta-szinuszos-2-vedoerintkezos-aljzat-szunetmentes-tapegyseg-usb-visszajelzo-led-lagyinditas-saic1000ts-18409","https://www.somogyi.hu/product/sal-saic1000ts-feszultsegatalakito-1000-w-nevleges-telj-tiszta-szinuszos-2-vedoerintkezos-aljzat-szunetmentes-tapegyseg-usb-visszajelzo-led-lagyinditas-saic1000ts-18409")</f>
        <v>0.0</v>
      </c>
      <c r="E1465" s="7" t="n">
        <f>HYPERLINK("https://www.somogyi.hu/data/img/product_main_images/small/18409.jpg","https://www.somogyi.hu/data/img/product_main_images/small/18409.jpg")</f>
        <v>0.0</v>
      </c>
      <c r="F1465" s="2" t="inlineStr">
        <is>
          <t>5999084964276</t>
        </is>
      </c>
      <c r="G1465" s="4" t="inlineStr">
        <is>
          <t>Egy megbízható megoldást keres, hogy 12V DC-t 230V AC feszültséggé alakítsa tiszta szinuszos formában? Az Home SAIC1000TS feszültségátalakítóval mindez könnyedén megoldható. Ez a készülék ideális választás érzékeny elektronikai berendezések, mint például fűtési keringtető szivattyúk tápellátásához, legyen szó járműről, hajóról vagy kempingezésről.
A feszültségátalakítóval rendelkezésre áll két védőérintkezős hálózati aljzat, valamint egy beépített, három lépcsős akkumulátortöltő, biztosítva a stabil és közel szünetmentes tápegységet. Áramszünet esetén automatikusan akkumulátoros módra vált, és a hálózati áram helyreállása után visszakapcsol. Az előlapi USB aljzat (5V / 2,5A) lehetővé teszi mobil eszközeinek kényelmes töltését.
Ez a magas teljesítményű, ~1000 Watt névleges terhelhetőségű feszültségátalakító digitális kijelzővel rendelkezik, amelyen nyomon követhető az akkumulátor DC feszültsége és a kimenő AC feszültség. A kétszínű LED-ek azonnali visszajelzést adnak a működési és töltési állapotról, míg a lágyindítás funkció, a túlterhelés, a túlmelegedés, a rövidzárlat, a túlfeszültség és az akkumulátor kimerülése elleni védelem gondoskodik a biztonságos használatról.
Az Home SAIC1000TS nem csak a magas minőségű és megbízható energiaellátást garantálja, hanem a biztonságos használatot is, köszönhetően a gyermekzár funkciós hálózati aljzatnak. Tegyen egy lépést a zökkenőmentes és biztonságos energiaellátás felé ezzel a kompakt, könnyen kezelhető feszültségátalakítóval.</t>
        </is>
      </c>
    </row>
    <row r="1466">
      <c r="A1466" s="3" t="inlineStr">
        <is>
          <t>SAI 2000USB</t>
        </is>
      </c>
      <c r="B1466" s="2" t="inlineStr">
        <is>
          <t>SAL SAI 2000USB feszültségátalakító, 1000 W, inverter, 500 mA USB töltő, gyermekzár</t>
        </is>
      </c>
      <c r="C1466" s="1" t="n">
        <v>35790.0</v>
      </c>
      <c r="D1466" s="7" t="n">
        <f>HYPERLINK("https://www.somogyi.hu/product/sal-sai-2000usb-feszultsegatalakito-1000-w-inverter-500-ma-usb-tolto-gyermekzar-sai-2000usb-15521","https://www.somogyi.hu/product/sal-sai-2000usb-feszultsegatalakito-1000-w-inverter-500-ma-usb-tolto-gyermekzar-sai-2000usb-15521")</f>
        <v>0.0</v>
      </c>
      <c r="E1466" s="7" t="n">
        <f>HYPERLINK("https://www.somogyi.hu/data/img/product_main_images/small/15521.jpg","https://www.somogyi.hu/data/img/product_main_images/small/15521.jpg")</f>
        <v>0.0</v>
      </c>
      <c r="F1466" s="2" t="inlineStr">
        <is>
          <t>5999084935559</t>
        </is>
      </c>
      <c r="G1466" s="4" t="inlineStr">
        <is>
          <t>A SAI 2000USB feszültségátalakító hálózati feszültséget állít elő, ha rendelkezésére áll 12 V. Előnye, hogy alkalmazható járműben, hajón, kempingben. Kb.1000 W folyamatos terhelhetőség, illetve 2000 W csúcsterhelhetőség jellemzi. A készüléken USB töltőaljzat is található. A hálózati aljzat gyermekzárral van ellátva. Válassza a minőségi termékeket és rendeljen webáruházunkból!</t>
        </is>
      </c>
    </row>
    <row r="1467">
      <c r="A1467" s="6" t="inlineStr">
        <is>
          <t xml:space="preserve">   Jármű, járműfelszerelés / Elektromos csatlakozó</t>
        </is>
      </c>
      <c r="B1467" s="6" t="inlineStr">
        <is>
          <t/>
        </is>
      </c>
      <c r="C1467" s="6" t="inlineStr">
        <is>
          <t/>
        </is>
      </c>
      <c r="D1467" s="6" t="inlineStr">
        <is>
          <t/>
        </is>
      </c>
      <c r="E1467" s="6" t="inlineStr">
        <is>
          <t/>
        </is>
      </c>
      <c r="F1467" s="6" t="inlineStr">
        <is>
          <t/>
        </is>
      </c>
      <c r="G1467" s="6" t="inlineStr">
        <is>
          <t/>
        </is>
      </c>
    </row>
    <row r="1468">
      <c r="A1468" s="3" t="inlineStr">
        <is>
          <t>WS 20</t>
        </is>
      </c>
      <c r="B1468" s="2" t="inlineStr">
        <is>
          <t>SAL WS 20 szivargyújtó lengődugó, F3A biztosíték</t>
        </is>
      </c>
      <c r="C1468" s="1" t="n">
        <v>519.0</v>
      </c>
      <c r="D1468" s="7" t="n">
        <f>HYPERLINK("https://www.somogyi.hu/product/sal-ws-20-szivargyujto-lengodugo-f3a-biztositek-ws-20-4219","https://www.somogyi.hu/product/sal-ws-20-szivargyujto-lengodugo-f3a-biztositek-ws-20-4219")</f>
        <v>0.0</v>
      </c>
      <c r="E1468" s="7" t="n">
        <f>HYPERLINK("https://www.somogyi.hu/data/img/product_main_images/small/04219.jpg","https://www.somogyi.hu/data/img/product_main_images/small/04219.jpg")</f>
        <v>0.0</v>
      </c>
      <c r="F1468" s="2" t="inlineStr">
        <is>
          <t>5998312737521</t>
        </is>
      </c>
      <c r="G1468" s="4" t="inlineStr">
        <is>
          <t>A WS 20 egy lengődugó biztosítékkal ellátott szivargyújtó, amely biztosíték aljzattal és F 3A (∅6x30 mm) biztosítékkal rendelkezik. Feszültsége. 12 V DC. Válassza a minőségi termékeket és rendeljen webáruházunkból.</t>
        </is>
      </c>
    </row>
    <row r="1469">
      <c r="A1469" s="3" t="inlineStr">
        <is>
          <t>90779</t>
        </is>
      </c>
      <c r="B1469" s="2" t="inlineStr">
        <is>
          <t>SAL 90779 utánfutó csatlakozóaljzat, 7 pólus, védőfedél, 70mm átmérő</t>
        </is>
      </c>
      <c r="C1469" s="1" t="n">
        <v>2090.0</v>
      </c>
      <c r="D1469" s="7" t="n">
        <f>HYPERLINK("https://www.somogyi.hu/product/sal-90779-utanfuto-csatlakozoaljzat-7-polus-vedofedel-70mm-atmero-90779-13820","https://www.somogyi.hu/product/sal-90779-utanfuto-csatlakozoaljzat-7-polus-vedofedel-70mm-atmero-90779-13820")</f>
        <v>0.0</v>
      </c>
      <c r="E1469" s="7" t="n">
        <f>HYPERLINK("https://www.somogyi.hu/data/img/product_main_images/small/13820.jpg","https://www.somogyi.hu/data/img/product_main_images/small/13820.jpg")</f>
        <v>0.0</v>
      </c>
      <c r="F1469" s="2" t="inlineStr">
        <is>
          <t>8586017590779</t>
        </is>
      </c>
      <c r="G1469" s="4" t="inlineStr">
        <is>
          <t>Keresse a megbízható, masszív kialakítású utánfutó csatlakozódugókat! A 90779 típus 7 pólusú rugós védőfedéllel rendelkezik a könnyed kezelhetőség érdekében. Átmérője: 70 mm. Feszültsége: 12 V DC. Válassza a minőségi termékeket és rendeljen webáruházunkból.</t>
        </is>
      </c>
    </row>
    <row r="1470">
      <c r="A1470" s="3" t="inlineStr">
        <is>
          <t>SS 1116/P</t>
        </is>
      </c>
      <c r="B1470" s="2" t="inlineStr">
        <is>
          <t>SAL SS 1116/P akkumulátor-csatlakozó, pozitív pólus, M8 csavar, 16mm alátét, titánium</t>
        </is>
      </c>
      <c r="C1470" s="1" t="n">
        <v>2690.0</v>
      </c>
      <c r="D1470" s="7" t="n">
        <f>HYPERLINK("https://www.somogyi.hu/product/sal-ss-1116-p-akkumulator-csatlakozo-pozitiv-polus-m8-csavar-16mm-alatet-titanium-ss-1116-p-4624","https://www.somogyi.hu/product/sal-ss-1116-p-akkumulator-csatlakozo-pozitiv-polus-m8-csavar-16mm-alatet-titanium-ss-1116-p-4624")</f>
        <v>0.0</v>
      </c>
      <c r="E1470" s="7" t="n">
        <f>HYPERLINK("https://www.somogyi.hu/data/img/product_main_images/small/04624.jpg","https://www.somogyi.hu/data/img/product_main_images/small/04624.jpg")</f>
        <v>0.0</v>
      </c>
      <c r="F1470" s="2" t="inlineStr">
        <is>
          <t>5998312740804</t>
        </is>
      </c>
      <c r="G1470" s="4" t="inlineStr">
        <is>
          <t>Az SS 1116/P egy masszív kialakítással rendelkező praktikus autóakkumulátor csatlakozó. A termék 
negatív pólusa (P). A megbízható kontaktusra garancia, hogy a csatlakozó titánium és aranyozott csavarokkal rendelkezik. Kimenete: 2 x 10 mm² + m8 csavar ∅16 mm alátéttel. Válassza a minőségi termékeket és rendeljen webáruházunkból.</t>
        </is>
      </c>
    </row>
    <row r="1471">
      <c r="A1471" s="3" t="inlineStr">
        <is>
          <t>SS 1116/N</t>
        </is>
      </c>
      <c r="B1471" s="2" t="inlineStr">
        <is>
          <t>SAL SS 1116/N akkumulátor-csatlakozó, negatív pólus, M8 csavar, 16mm alátét, titánium</t>
        </is>
      </c>
      <c r="C1471" s="1" t="n">
        <v>2690.0</v>
      </c>
      <c r="D1471" s="7" t="n">
        <f>HYPERLINK("https://www.somogyi.hu/product/sal-ss-1116-n-akkumulator-csatlakozo-negativ-polus-m8-csavar-16mm-alatet-titanium-ss-1116-n-4623","https://www.somogyi.hu/product/sal-ss-1116-n-akkumulator-csatlakozo-negativ-polus-m8-csavar-16mm-alatet-titanium-ss-1116-n-4623")</f>
        <v>0.0</v>
      </c>
      <c r="E1471" s="7" t="n">
        <f>HYPERLINK("https://www.somogyi.hu/data/img/product_main_images/small/04623.jpg","https://www.somogyi.hu/data/img/product_main_images/small/04623.jpg")</f>
        <v>0.0</v>
      </c>
      <c r="F1471" s="2" t="inlineStr">
        <is>
          <t>5998312740798</t>
        </is>
      </c>
      <c r="G1471" s="4" t="inlineStr">
        <is>
          <t>Az SS 1116/N egy masszív kialakítással rendelkező praktikus autóakkumulátor csatlakozó. A termék 
negatív pólusra (N). A megbízható kontaktusra garancia, hogy a csatlakozó titánium és aranyozott csavarokkal rendelkezik. Kimenete: 2 x 10 mm² + m8 csavar ∅16 mm alátéttel. Válassza a minőségi termékeket és rendeljen webáruházunkból.</t>
        </is>
      </c>
    </row>
    <row r="1472">
      <c r="A1472" s="3" t="inlineStr">
        <is>
          <t>90762</t>
        </is>
      </c>
      <c r="B1472" s="2" t="inlineStr">
        <is>
          <t>SAL 90762 utánfutó lengő csatlakozódugó, 7 pólus, törésgátló</t>
        </is>
      </c>
      <c r="C1472" s="1" t="n">
        <v>2090.0</v>
      </c>
      <c r="D1472" s="7" t="n">
        <f>HYPERLINK("https://www.somogyi.hu/product/sal-90762-utanfuto-lengo-csatlakozodugo-7-polus-toresgatlo-90762-13819","https://www.somogyi.hu/product/sal-90762-utanfuto-lengo-csatlakozodugo-7-polus-toresgatlo-90762-13819")</f>
        <v>0.0</v>
      </c>
      <c r="E1472" s="7" t="n">
        <f>HYPERLINK("https://www.somogyi.hu/data/img/product_main_images/small/13819.jpg","https://www.somogyi.hu/data/img/product_main_images/small/13819.jpg")</f>
        <v>0.0</v>
      </c>
      <c r="F1472" s="2" t="inlineStr">
        <is>
          <t>8586017590762</t>
        </is>
      </c>
      <c r="G1472" s="4" t="inlineStr">
        <is>
          <t>Keresse a megbízható, masszív kialakítású utánfutó lengő csatlakozódugókat! A 90762 típus 7 pólusú, törésgátlóval lett ellátva, így garantáltan hosszú az élettartama. Feszültsége: 12 V DC. Válassza a minőségi termékeket és rendeljen webáruházunkból.</t>
        </is>
      </c>
    </row>
    <row r="1473">
      <c r="A1473" s="3" t="inlineStr">
        <is>
          <t>WS 11</t>
        </is>
      </c>
      <c r="B1473" s="2" t="inlineStr">
        <is>
          <t>SAL WS 11 szivargyújtó lengőaljzat, autós porszívó, hűtőláda</t>
        </is>
      </c>
      <c r="C1473" s="1" t="n">
        <v>549.0</v>
      </c>
      <c r="D1473" s="7" t="n">
        <f>HYPERLINK("https://www.somogyi.hu/product/sal-ws-11-szivargyujto-lengoaljzat-autos-porszivo-hutolada-ws-11-2364","https://www.somogyi.hu/product/sal-ws-11-szivargyujto-lengoaljzat-autos-porszivo-hutolada-ws-11-2364")</f>
        <v>0.0</v>
      </c>
      <c r="E1473" s="7" t="n">
        <f>HYPERLINK("https://www.somogyi.hu/data/img/product_main_images/small/02364.jpg","https://www.somogyi.hu/data/img/product_main_images/small/02364.jpg")</f>
        <v>0.0</v>
      </c>
      <c r="F1473" s="2" t="inlineStr">
        <is>
          <t>5998312726709</t>
        </is>
      </c>
      <c r="G1473" s="4" t="inlineStr">
        <is>
          <t>A WS 11 szivargyújtó lengőaljzat ideális hosszabbítóhoz, valamint alkalmas autós porszívóhoz, hűtőládához egyaránt. Feszültsége: 12 V DC. Válassza a minőségi termékeket és rendeljen webáruházunkból.</t>
        </is>
      </c>
    </row>
    <row r="1474">
      <c r="A1474" s="3" t="inlineStr">
        <is>
          <t>94838</t>
        </is>
      </c>
      <c r="B1474" s="2" t="inlineStr">
        <is>
          <t>SAL 94838 szivargyújtó hosszabbító, 10A biztosíték, 4m</t>
        </is>
      </c>
      <c r="C1474" s="1" t="n">
        <v>3090.0</v>
      </c>
      <c r="D1474" s="7" t="n">
        <f>HYPERLINK("https://www.somogyi.hu/product/sal-94838-szivargyujto-hosszabbito-10a-biztositek-4m-94838-14877","https://www.somogyi.hu/product/sal-94838-szivargyujto-hosszabbito-10a-biztositek-4m-94838-14877")</f>
        <v>0.0</v>
      </c>
      <c r="E1474" s="7" t="n">
        <f>HYPERLINK("https://www.somogyi.hu/data/img/product_main_images/small/14877.jpg","https://www.somogyi.hu/data/img/product_main_images/small/14877.jpg")</f>
        <v>0.0</v>
      </c>
      <c r="F1474" s="2" t="inlineStr">
        <is>
          <t>8586017594838</t>
        </is>
      </c>
      <c r="G1474" s="4" t="inlineStr">
        <is>
          <t>Önnek is fontos, hogy praktikus kiegészítőkkel lássa el autóját? Ez esetben ne feledkezzen meg a szivargyújtó hosszabbítóról sem!
A 94838 típusú szivargyújtó 4 méteres hosszúsággal, illetve spirálvezetékkel rendelkezik, ez utóbbi tulajdonságnak köszönhetően rugalmas használatot biztosít, továbbá könnyen elkerülhetjük a vezeték sérülését a hosszú távú igénybevétel során.
A szivargyújtó hosszabbító működését egy piros LED jelzőlámpa mutatja, illetve tápellátása 12 és 24 V között történik. Válassza a minőségi termékeket és rendeljen webáruházunkból!</t>
        </is>
      </c>
    </row>
    <row r="1475">
      <c r="A1475" s="3" t="inlineStr">
        <is>
          <t>SA 022</t>
        </is>
      </c>
      <c r="B1475" s="2" t="inlineStr">
        <is>
          <t>SAL SA 022 szivargyújtó elosztó, 2 készülék, max. 5A</t>
        </is>
      </c>
      <c r="C1475" s="1" t="n">
        <v>1890.0</v>
      </c>
      <c r="D1475" s="7" t="n">
        <f>HYPERLINK("https://www.somogyi.hu/product/sal-sa-022-szivargyujto-eloszto-2-keszulek-max-5a-sa-022-8544","https://www.somogyi.hu/product/sal-sa-022-szivargyujto-eloszto-2-keszulek-max-5a-sa-022-8544")</f>
        <v>0.0</v>
      </c>
      <c r="E1475" s="7" t="n">
        <f>HYPERLINK("https://www.somogyi.hu/data/img/product_main_images/small/08544.jpg","https://www.somogyi.hu/data/img/product_main_images/small/08544.jpg")</f>
        <v>0.0</v>
      </c>
      <c r="F1475" s="2" t="inlineStr">
        <is>
          <t>5998312774397</t>
        </is>
      </c>
      <c r="G1475" s="4" t="inlineStr">
        <is>
          <t>Keresse Ön is a praktikus kialakítású SA 022-es autós feszültségelosztót. Előnye, hogy egyidejűleg két készülék működtetését is lehetővé teszi. A feszültségelosztó működését egy LED visszajelző mutatja. Bemenete: 12 V DC. Kimenete: 2 x 12 V DC / max. 5 A. Válassza a minőségi termékeket és rendeljen webáruházunkból.</t>
        </is>
      </c>
    </row>
    <row r="1476">
      <c r="A1476" s="3" t="inlineStr">
        <is>
          <t>97242</t>
        </is>
      </c>
      <c r="B1476" s="2" t="inlineStr">
        <is>
          <t>SAL 97242 indítókábel, max. 600A, 4m</t>
        </is>
      </c>
      <c r="C1476" s="1" t="n">
        <v>8990.0</v>
      </c>
      <c r="D1476" s="7" t="n">
        <f>HYPERLINK("https://www.somogyi.hu/product/sal-97242-inditokabel-max-600a-4m-97242-17705","https://www.somogyi.hu/product/sal-97242-inditokabel-max-600a-4m-97242-17705")</f>
        <v>0.0</v>
      </c>
      <c r="E1476" s="7" t="n">
        <f>HYPERLINK("https://www.somogyi.hu/data/img/product_main_images/small/17705.jpg","https://www.somogyi.hu/data/img/product_main_images/small/17705.jpg")</f>
        <v>0.0</v>
      </c>
      <c r="F1476" s="2" t="inlineStr">
        <is>
          <t>8586017597242</t>
        </is>
      </c>
      <c r="G1476" s="4" t="inlineStr">
        <is>
          <t>97242 Indítókábel- bikakábel nélkülözhetetlen tartozéka az autóknak, mert bármikor szüksége lehet rá. Praktikus hordtáskában tárolható, így nem csúszik szét és gabalyodik össze. 
Maximális töltő áram 600 A.</t>
        </is>
      </c>
    </row>
    <row r="1477">
      <c r="A1477" s="3" t="inlineStr">
        <is>
          <t>91998</t>
        </is>
      </c>
      <c r="B1477" s="2" t="inlineStr">
        <is>
          <t>SAL 91998 szivargyújtó lengődugó, F8A biztosíték, kapcsolható, forrasztandó</t>
        </is>
      </c>
      <c r="C1477" s="1" t="n">
        <v>2090.0</v>
      </c>
      <c r="D1477" s="7" t="n">
        <f>HYPERLINK("https://www.somogyi.hu/product/sal-91998-szivargyujto-lengodugo-f8a-biztositek-kapcsolhato-forrasztando-91998-13858","https://www.somogyi.hu/product/sal-91998-szivargyujto-lengodugo-f8a-biztositek-kapcsolhato-forrasztando-91998-13858")</f>
        <v>0.0</v>
      </c>
      <c r="E1477" s="7" t="n">
        <f>HYPERLINK("https://www.somogyi.hu/data/img/product_main_images/small/13858.jpg","https://www.somogyi.hu/data/img/product_main_images/small/13858.jpg")</f>
        <v>0.0</v>
      </c>
      <c r="F1477" s="2" t="inlineStr">
        <is>
          <t>8586017591998</t>
        </is>
      </c>
      <c r="G1477" s="4" t="inlineStr">
        <is>
          <t>A 91998 egy biztosítékkal ellátott szivargyújtó lengődugó, amelyben egy beépített világító billenőkapcsoló lett kialakítva. Alkalmazása (12 V) során forrasztandó. A termék előnye továbbá, hogy be- és kikapcsolja és védi készülékeket. A szivargyújtóhoz biztosíték aljzat és F 8A (∅5x20 mm) biztosíték tartozik. Válassza a minőségi termékeket és rendeljen webáruházunkból.</t>
        </is>
      </c>
    </row>
    <row r="1478">
      <c r="A1478" s="6" t="inlineStr">
        <is>
          <t xml:space="preserve">   Jármű, járműfelszerelés / Antenna, antennakábel-hosszabbító</t>
        </is>
      </c>
      <c r="B1478" s="6" t="inlineStr">
        <is>
          <t/>
        </is>
      </c>
      <c r="C1478" s="6" t="inlineStr">
        <is>
          <t/>
        </is>
      </c>
      <c r="D1478" s="6" t="inlineStr">
        <is>
          <t/>
        </is>
      </c>
      <c r="E1478" s="6" t="inlineStr">
        <is>
          <t/>
        </is>
      </c>
      <c r="F1478" s="6" t="inlineStr">
        <is>
          <t/>
        </is>
      </c>
      <c r="G1478" s="6" t="inlineStr">
        <is>
          <t/>
        </is>
      </c>
    </row>
    <row r="1479">
      <c r="A1479" s="3" t="inlineStr">
        <is>
          <t>SA-ANTCS 004</t>
        </is>
      </c>
      <c r="B1479" s="2" t="inlineStr">
        <is>
          <t>SAL SA-ANTCS 004 autóantenna-hosszabbító, DIN aljzat, DIN dugó, 1m</t>
        </is>
      </c>
      <c r="C1479" s="1" t="n">
        <v>1690.0</v>
      </c>
      <c r="D1479" s="7" t="n">
        <f>HYPERLINK("https://www.somogyi.hu/product/sal-sa-antcs-004-autoantenna-hosszabbito-din-aljzat-din-dugo-1m-sa-antcs-004-7038","https://www.somogyi.hu/product/sal-sa-antcs-004-autoantenna-hosszabbito-din-aljzat-din-dugo-1m-sa-antcs-004-7038")</f>
        <v>0.0</v>
      </c>
      <c r="E1479" s="7" t="n">
        <f>HYPERLINK("https://www.somogyi.hu/data/img/product_main_images/small/07038.jpg","https://www.somogyi.hu/data/img/product_main_images/small/07038.jpg")</f>
        <v>0.0</v>
      </c>
      <c r="F1479" s="2" t="inlineStr">
        <is>
          <t>5998312760451</t>
        </is>
      </c>
      <c r="G1479" s="4" t="inlineStr">
        <is>
          <t>Ha Ön is egy minőségi autóantenna hosszabbító vásárlását tervezi, akkor garantáltan jó helyen jár! Az SA-ANTCS 004 egy masszív kialakítású autóantenna hosszabbító! Az 1, 0 méter hosszúságú antennakábel DIN-aljzattal és DIN dugóval ellátott. Válassza a minőségi termékeket és rendeljen webáruházunkból.</t>
        </is>
      </c>
    </row>
    <row r="1480">
      <c r="A1480" s="3" t="inlineStr">
        <is>
          <t>93220</t>
        </is>
      </c>
      <c r="B1480" s="2" t="inlineStr">
        <is>
          <t>SAL 90557 autóantenna erősítővel, tetőre, VW Golf, M5 csavar, DIN csatlakozó, 400 mm, 52°, gumi burkolat</t>
        </is>
      </c>
      <c r="C1480" s="1" t="n">
        <v>3190.0</v>
      </c>
      <c r="D1480" s="7" t="n">
        <f>HYPERLINK("https://www.somogyi.hu/product/sal-90557-autoantenna-erositovel-tetore-vw-golf-m5-csavar-din-csatlakozo-400-mm-52-gumi-burkolat-93220-13832","https://www.somogyi.hu/product/sal-90557-autoantenna-erositovel-tetore-vw-golf-m5-csavar-din-csatlakozo-400-mm-52-gumi-burkolat-93220-13832")</f>
        <v>0.0</v>
      </c>
      <c r="E1480" s="7" t="n">
        <f>HYPERLINK("https://www.somogyi.hu/data/img/product_main_images/small/13832.jpg","https://www.somogyi.hu/data/img/product_main_images/small/13832.jpg")</f>
        <v>0.0</v>
      </c>
      <c r="F1480" s="2" t="inlineStr">
        <is>
          <t>8586017593220</t>
        </is>
      </c>
      <c r="G1480" s="4" t="inlineStr">
        <is>
          <t>Válogasson kedvére a széles választékban kapható, megbízható kialakítású autóantennáink között!
A 93220 gumi burkolatú tetőre rögzíthető autóantenna. Ovális talppal (WV Golf), 3 m-es kábellel, beépíthet erősítővel (12 V) és Din csatlakozódugóval, valamint ∅5 mm csavarral ellátott. Az antenna 400 mm / 52°-os fix dőlésszöggel rendelkezik. Válassza a minőségi termékeket és rendeljen webáruházunkból.</t>
        </is>
      </c>
    </row>
    <row r="1481">
      <c r="A1481" s="3" t="inlineStr">
        <is>
          <t>91110</t>
        </is>
      </c>
      <c r="B1481" s="2" t="inlineStr">
        <is>
          <t>SAL 91110 autóantenna erősítővel, belső, szélvédőre ragasztható, öntapadós, 340mm, DIN</t>
        </is>
      </c>
      <c r="C1481" s="1" t="n">
        <v>2390.0</v>
      </c>
      <c r="D1481" s="7" t="n">
        <f>HYPERLINK("https://www.somogyi.hu/product/sal-91110-autoantenna-erositovel-belso-szelvedore-ragaszthato-ontapados-340mm-din-91110-13824","https://www.somogyi.hu/product/sal-91110-autoantenna-erositovel-belso-szelvedore-ragaszthato-ontapados-340mm-din-91110-13824")</f>
        <v>0.0</v>
      </c>
      <c r="E1481" s="7" t="n">
        <f>HYPERLINK("https://www.somogyi.hu/data/img/product_main_images/small/13824.jpg","https://www.somogyi.hu/data/img/product_main_images/small/13824.jpg")</f>
        <v>0.0</v>
      </c>
      <c r="F1481" s="2" t="inlineStr">
        <is>
          <t>8586017591110</t>
        </is>
      </c>
      <c r="G1481" s="4" t="inlineStr">
        <is>
          <t>Válogasson kedvére a széles választékban kapható, megbízható kialakítású autóantennáink között!
A 91110 szélvédőre rögzíthető autóantenna. A belső antenna, öntapadós rögzítéssel, beépített erősítővel (12 V) rendelkezik. 1,9 m-es kábellel és Din csatlakozódugóval ellátott. Mérete: 340 x 9 mm-es csík. Válassza a minőségi termékeket és rendeljen webáruházunkból.</t>
        </is>
      </c>
    </row>
    <row r="1482">
      <c r="A1482" s="3" t="inlineStr">
        <is>
          <t>90557</t>
        </is>
      </c>
      <c r="B1482" s="2" t="inlineStr">
        <is>
          <t>SAL 90557 autóantenna tetőre, M5 csavar, DIN csatlakozó, 440 mm, 0-45°, gumi burkolat</t>
        </is>
      </c>
      <c r="C1482" s="1" t="n">
        <v>3190.0</v>
      </c>
      <c r="D1482" s="7" t="n">
        <f>HYPERLINK("https://www.somogyi.hu/product/sal-90557-autoantenna-tetore-m5-csavar-din-csatlakozo-440-mm-0-45-gumi-burkolat-90557-13823","https://www.somogyi.hu/product/sal-90557-autoantenna-tetore-m5-csavar-din-csatlakozo-440-mm-0-45-gumi-burkolat-90557-13823")</f>
        <v>0.0</v>
      </c>
      <c r="E1482" s="7" t="n">
        <f>HYPERLINK("https://www.somogyi.hu/data/img/product_main_images/small/13823.jpg","https://www.somogyi.hu/data/img/product_main_images/small/13823.jpg")</f>
        <v>0.0</v>
      </c>
      <c r="F1482" s="2" t="inlineStr">
        <is>
          <t>8586017590557</t>
        </is>
      </c>
      <c r="G1482" s="4" t="inlineStr">
        <is>
          <t>Válogasson kedvére a széles választékban kapható, megbízható kialakítású autóantennáink között!
A 90557 gumi burkolatú, tetőre rögzíthető autóantenna. Csepp alakú talppal, 2 m-es kábellel és Din csatlakozódugóval, valamint ∅5 mm csavarral ellátott. Az antenna 440 mm / 0 - 45°-ban dönthető. Válassza a minőségi termékeket és rendeljen webáruházunkból.</t>
        </is>
      </c>
    </row>
    <row r="1483">
      <c r="A1483" s="3" t="inlineStr">
        <is>
          <t>90595</t>
        </is>
      </c>
      <c r="B1483" s="2" t="inlineStr">
        <is>
          <t>SAL 90557 autóantenna tetőre, VW Golf, M5 csavar, DIN csatlakozó, 400 mm, 52°, gumi burkolat</t>
        </is>
      </c>
      <c r="C1483" s="1" t="n">
        <v>2590.0</v>
      </c>
      <c r="D1483" s="7" t="n">
        <f>HYPERLINK("https://www.somogyi.hu/product/sal-90557-autoantenna-tetore-vw-golf-m5-csavar-din-csatlakozo-400-mm-52-gumi-burkolat-90595-13821","https://www.somogyi.hu/product/sal-90557-autoantenna-tetore-vw-golf-m5-csavar-din-csatlakozo-400-mm-52-gumi-burkolat-90595-13821")</f>
        <v>0.0</v>
      </c>
      <c r="E1483" s="7" t="n">
        <f>HYPERLINK("https://www.somogyi.hu/data/img/product_main_images/small/13821.jpg","https://www.somogyi.hu/data/img/product_main_images/small/13821.jpg")</f>
        <v>0.0</v>
      </c>
      <c r="F1483" s="2" t="inlineStr">
        <is>
          <t>8586017590595</t>
        </is>
      </c>
      <c r="G1483" s="4" t="inlineStr">
        <is>
          <t>Válogasson kedvére a széles választékban kapható, megbízható kialakítású autóantennáink között!
A 90595 gumi burkolatú, tetőre rögzíthető autóantenna. Ovális talppal (WV Golf), 3 m-es kábellel és Din csatlakozódugóval, valamint ∅5 mm csavarral ellátott. Az antenna 400 mm / 52° fix dőlésszöggel rendelkezik. Válassza a minőségi termékeket és rendeljen webáruházunkból.</t>
        </is>
      </c>
    </row>
    <row r="1484">
      <c r="A1484" s="6" t="inlineStr">
        <is>
          <t xml:space="preserve">   Jármű, járműfelszerelés / Antennacsatlakozó, hangszóró-csatlakozó, tápellátás-csatlakozó</t>
        </is>
      </c>
      <c r="B1484" s="6" t="inlineStr">
        <is>
          <t/>
        </is>
      </c>
      <c r="C1484" s="6" t="inlineStr">
        <is>
          <t/>
        </is>
      </c>
      <c r="D1484" s="6" t="inlineStr">
        <is>
          <t/>
        </is>
      </c>
      <c r="E1484" s="6" t="inlineStr">
        <is>
          <t/>
        </is>
      </c>
      <c r="F1484" s="6" t="inlineStr">
        <is>
          <t/>
        </is>
      </c>
      <c r="G1484" s="6" t="inlineStr">
        <is>
          <t/>
        </is>
      </c>
    </row>
    <row r="1485">
      <c r="A1485" s="3" t="inlineStr">
        <is>
          <t>ISO 2</t>
        </is>
      </c>
      <c r="B1485" s="2" t="inlineStr">
        <is>
          <t>SAL ISO 2, ISO csatlakozópár autórádióhoz, hangszórók, tápellátás, 15cm-es feliratozott vezeték</t>
        </is>
      </c>
      <c r="C1485" s="1" t="n">
        <v>1450.0</v>
      </c>
      <c r="D1485" s="7" t="n">
        <f>HYPERLINK("https://www.somogyi.hu/product/sal-iso-2-iso-csatlakozopar-autoradiohoz-hangszorok-tapellatas-15cm-es-feliratozott-vezetek-iso-2-4316","https://www.somogyi.hu/product/sal-iso-2-iso-csatlakozopar-autoradiohoz-hangszorok-tapellatas-15cm-es-feliratozott-vezetek-iso-2-4316")</f>
        <v>0.0</v>
      </c>
      <c r="E1485" s="7" t="n">
        <f>HYPERLINK("https://www.somogyi.hu/data/img/product_main_images/small/04316.jpg","https://www.somogyi.hu/data/img/product_main_images/small/04316.jpg")</f>
        <v>0.0</v>
      </c>
      <c r="F1485" s="2" t="inlineStr">
        <is>
          <t>5998312737798</t>
        </is>
      </c>
      <c r="G1485" s="4" t="inlineStr">
        <is>
          <t>Széles kínálatunkban garantáltan megtalálhatja az ideális ISO lengőaljzatot! Az ISO 2 csatlakozó lengőaljzatpár egy 15 cm-es feliratozott vezetékekkel ellátott autórádió csatlakozó. A termék tápfeszültség és hangszórók bekötéséhez használható. Válassza a minőségi termékeket és rendeljen webáruházunkból.</t>
        </is>
      </c>
    </row>
    <row r="1486">
      <c r="A1486" s="3" t="inlineStr">
        <is>
          <t>SA-FISO 022</t>
        </is>
      </c>
      <c r="B1486" s="2" t="inlineStr">
        <is>
          <t>SAL SA-FISO 022, ISO csatlakozókábel hosszabbító, 4 hangszóró, tápellátás</t>
        </is>
      </c>
      <c r="C1486" s="1" t="n">
        <v>2290.0</v>
      </c>
      <c r="D1486" s="7" t="n">
        <f>HYPERLINK("https://www.somogyi.hu/product/sal-sa-fiso-022-iso-csatlakozokabel-hosszabbito-4-hangszoro-tapellatas-sa-fiso-022-7013","https://www.somogyi.hu/product/sal-sa-fiso-022-iso-csatlakozokabel-hosszabbito-4-hangszoro-tapellatas-sa-fiso-022-7013")</f>
        <v>0.0</v>
      </c>
      <c r="E1486" s="7" t="n">
        <f>HYPERLINK("https://www.somogyi.hu/data/img/product_main_images/small/07013.jpg","https://www.somogyi.hu/data/img/product_main_images/small/07013.jpg")</f>
        <v>0.0</v>
      </c>
      <c r="F1486" s="2" t="inlineStr">
        <is>
          <t>5998312760260</t>
        </is>
      </c>
      <c r="G1486" s="4" t="inlineStr">
        <is>
          <t>Széles kínálatunkban garantáltan megtalálhatja a típusspecifikus csatlakozókat!
Az SA-FISO 022 egy fejegység csatlakozókábel ISO aljzattal és ISO dugóval (toldó). Tápellátásra, illetve 4 hangszóró bekötésére alkalmas. A termék egy univerzális autóhifi csatlakozó. A vezeték hossza dugók nélkül: 13cm. Válassza a minőségi termékeket és rendeljen webáruházunkból.</t>
        </is>
      </c>
    </row>
    <row r="1487">
      <c r="A1487" s="3" t="inlineStr">
        <is>
          <t>SA-ANTCS 008</t>
        </is>
      </c>
      <c r="B1487" s="2" t="inlineStr">
        <is>
          <t>SAL SA-ANTCS 008 autóantenna-csatlakozó átalakító, DIN, fantom tápellátás</t>
        </is>
      </c>
      <c r="C1487" s="1" t="n">
        <v>2690.0</v>
      </c>
      <c r="D1487" s="7" t="n">
        <f>HYPERLINK("https://www.somogyi.hu/product/sal-sa-antcs-008-autoantenna-csatlakozo-atalakito-din-fantom-tapellatas-sa-antcs-008-7374","https://www.somogyi.hu/product/sal-sa-antcs-008-autoantenna-csatlakozo-atalakito-din-fantom-tapellatas-sa-antcs-008-7374")</f>
        <v>0.0</v>
      </c>
      <c r="E1487" s="7" t="n">
        <f>HYPERLINK("https://www.somogyi.hu/data/img/product_main_images/small/07374.jpg","https://www.somogyi.hu/data/img/product_main_images/small/07374.jpg")</f>
        <v>0.0</v>
      </c>
      <c r="F1487" s="2" t="inlineStr">
        <is>
          <t>5998312763636</t>
        </is>
      </c>
      <c r="G1487" s="4" t="inlineStr">
        <is>
          <t>Masszív kialakítással rendelkező autóantenna átalakítót keres? Ez esetben a legjobb helyen jár! Széles kínálatunkban könnyedén megtalálhatja az igényeinek megfelelő darabot!
SA-ANTCS 008 típus egy fantom tápellátású DIN autóantenna átalakító. Válassza a minőségi termékeket és rendeljen webáruházunkból.</t>
        </is>
      </c>
    </row>
    <row r="1488">
      <c r="A1488" s="3" t="inlineStr">
        <is>
          <t>SA-ANTCS 002</t>
        </is>
      </c>
      <c r="B1488" s="2" t="inlineStr">
        <is>
          <t>SAL SA-ANTCS 002 autóantenna-csatlakozó átalakító, DIN aljzat, ISO dugó</t>
        </is>
      </c>
      <c r="C1488" s="1" t="n">
        <v>639.0</v>
      </c>
      <c r="D1488" s="7" t="n">
        <f>HYPERLINK("https://www.somogyi.hu/product/sal-sa-antcs-002-autoantenna-csatlakozo-atalakito-din-aljzat-iso-dugo-sa-antcs-002-7036","https://www.somogyi.hu/product/sal-sa-antcs-002-autoantenna-csatlakozo-atalakito-din-aljzat-iso-dugo-sa-antcs-002-7036")</f>
        <v>0.0</v>
      </c>
      <c r="E1488" s="7" t="n">
        <f>HYPERLINK("https://www.somogyi.hu/data/img/product_main_images/small/07036.jpg","https://www.somogyi.hu/data/img/product_main_images/small/07036.jpg")</f>
        <v>0.0</v>
      </c>
      <c r="F1488" s="2" t="inlineStr">
        <is>
          <t>5998312760437</t>
        </is>
      </c>
      <c r="G1488" s="4" t="inlineStr">
        <is>
          <t>Masszív kialakítással rendelkező autóantenna átalakítót keres? Ez esetben a legjobb helyen jár! Széles kínálatunkban könnyedén megtalálhatja az igényeinek megfelelő darabot!
SA-ANTCS 002 egy autóantenna csatlakozó, amelynek egyik vége DIN aljzat, másik vége ISO dugó. Válassza a minőségi termékeket és rendeljen webáruházunkból.</t>
        </is>
      </c>
    </row>
    <row r="1489">
      <c r="A1489" s="3" t="inlineStr">
        <is>
          <t>SA-ANTCS 001</t>
        </is>
      </c>
      <c r="B1489" s="2" t="inlineStr">
        <is>
          <t>SAL SA-ANTCS 001 autóantenna-csatlakozó átalakító, ISO aljzat, DIN dugó</t>
        </is>
      </c>
      <c r="C1489" s="1" t="n">
        <v>529.0</v>
      </c>
      <c r="D1489" s="7" t="n">
        <f>HYPERLINK("https://www.somogyi.hu/product/sal-sa-antcs-001-autoantenna-csatlakozo-atalakito-iso-aljzat-din-dugo-sa-antcs-001-7035","https://www.somogyi.hu/product/sal-sa-antcs-001-autoantenna-csatlakozo-atalakito-iso-aljzat-din-dugo-sa-antcs-001-7035")</f>
        <v>0.0</v>
      </c>
      <c r="E1489" s="7" t="n">
        <f>HYPERLINK("https://www.somogyi.hu/data/img/product_main_images/small/07035.jpg","https://www.somogyi.hu/data/img/product_main_images/small/07035.jpg")</f>
        <v>0.0</v>
      </c>
      <c r="F1489" s="2" t="inlineStr">
        <is>
          <t>5998312760420</t>
        </is>
      </c>
      <c r="G1489" s="4" t="inlineStr">
        <is>
          <t>Masszív kialakítással rendelkező autóantenna csatlakozó átalakítót keres? Ez esetben a legjobb helyen jár! Széles kínálatunkban könnyedén megtalálhatja az igényeinek megfelelő darabot!
SA-ANTCS 001 típus egy autóantenna csatlakozó, amelynek egyik vége ISO aljzat, másik vége DIN dugó. Válassza a minőségi termékeket és rendeljen webáruházunkból.</t>
        </is>
      </c>
    </row>
    <row r="1490">
      <c r="A1490" s="3" t="inlineStr">
        <is>
          <t>SA-FISO 027</t>
        </is>
      </c>
      <c r="B1490" s="2" t="inlineStr">
        <is>
          <t>SAL SA-FISO 027, ISO tápellátás dugó, 15cm-es feliratozott vezeték</t>
        </is>
      </c>
      <c r="C1490" s="1" t="n">
        <v>529.0</v>
      </c>
      <c r="D1490" s="7" t="n">
        <f>HYPERLINK("https://www.somogyi.hu/product/sal-sa-fiso-027-iso-tapellatas-dugo-15cm-es-feliratozott-vezetek-sa-fiso-027-7018","https://www.somogyi.hu/product/sal-sa-fiso-027-iso-tapellatas-dugo-15cm-es-feliratozott-vezetek-sa-fiso-027-7018")</f>
        <v>0.0</v>
      </c>
      <c r="E1490" s="7" t="n">
        <f>HYPERLINK("https://www.somogyi.hu/data/img/product_main_images/small/07018.jpg","https://www.somogyi.hu/data/img/product_main_images/small/07018.jpg")</f>
        <v>0.0</v>
      </c>
      <c r="F1490" s="2" t="inlineStr">
        <is>
          <t>5998312760314</t>
        </is>
      </c>
      <c r="G1490" s="4" t="inlineStr">
        <is>
          <t>Széles kínálatunkban garantáltan megtalálhatja az ideális ISO csatlakozódugókat!
Az SA-FISO 027 ISO tápcsatlakozó, 15 cm-es feliratozott vezetékkel rendelkezik. A termék kifejezetten tápellátáshoz használható autóhifi csatlakozó. Válassza a minőségi termékeket és rendeljen webáruházunkból.</t>
        </is>
      </c>
    </row>
    <row r="1491">
      <c r="A1491" s="6" t="inlineStr">
        <is>
          <t xml:space="preserve">   Jármű, járműfelszerelés / Autós kiegészítő</t>
        </is>
      </c>
      <c r="B1491" s="6" t="inlineStr">
        <is>
          <t/>
        </is>
      </c>
      <c r="C1491" s="6" t="inlineStr">
        <is>
          <t/>
        </is>
      </c>
      <c r="D1491" s="6" t="inlineStr">
        <is>
          <t/>
        </is>
      </c>
      <c r="E1491" s="6" t="inlineStr">
        <is>
          <t/>
        </is>
      </c>
      <c r="F1491" s="6" t="inlineStr">
        <is>
          <t/>
        </is>
      </c>
      <c r="G1491" s="6" t="inlineStr">
        <is>
          <t/>
        </is>
      </c>
    </row>
    <row r="1492">
      <c r="A1492" s="3" t="inlineStr">
        <is>
          <t>91769</t>
        </is>
      </c>
      <c r="B1492" s="2" t="inlineStr">
        <is>
          <t>SAL 91769 légnyomásmérő gumiabroncshoz, 0,5-7,5 bar, fém ház</t>
        </is>
      </c>
      <c r="C1492" s="1" t="n">
        <v>2890.0</v>
      </c>
      <c r="D1492" s="7" t="n">
        <f>HYPERLINK("https://www.somogyi.hu/product/sal-91769-legnyomasmero-gumiabroncshoz-0-5-7-5-bar-fem-haz-91769-13777","https://www.somogyi.hu/product/sal-91769-legnyomasmero-gumiabroncshoz-0-5-7-5-bar-fem-haz-91769-13777")</f>
        <v>0.0</v>
      </c>
      <c r="E1492" s="7" t="n">
        <f>HYPERLINK("https://www.somogyi.hu/data/img/product_main_images/small/13777.jpg","https://www.somogyi.hu/data/img/product_main_images/small/13777.jpg")</f>
        <v>0.0</v>
      </c>
      <c r="F1492" s="2" t="inlineStr">
        <is>
          <t>8586017591769</t>
        </is>
      </c>
      <c r="G1492" s="4" t="inlineStr">
        <is>
          <t>Keresse a praktikus kialakítású autós kiegészítőket! A 91769 típusú légnyomásmérő tartós, masszív fém házas kivitelben kapható. Mérési tartománya: 0,5 – 7,5 Bar. Válassza a minőségi termékeket és rendeljen webáruházunkból.</t>
        </is>
      </c>
    </row>
    <row r="1493">
      <c r="A1493" s="3" t="inlineStr">
        <is>
          <t>90304</t>
        </is>
      </c>
      <c r="B1493" s="2" t="inlineStr">
        <is>
          <t>SAL 90304 autós kompresszor, 250 PSI, 18 bar, 10 A, 3 fúvókaadapter, 2,5m vezeték</t>
        </is>
      </c>
      <c r="C1493" s="1" t="n">
        <v>9290.0</v>
      </c>
      <c r="D1493" s="7" t="n">
        <f>HYPERLINK("https://www.somogyi.hu/product/sal-90304-autos-kompresszor-250-psi-18-bar-10-a-3-fuvokaadapter-2-5m-vezetek-90304-14262","https://www.somogyi.hu/product/sal-90304-autos-kompresszor-250-psi-18-bar-10-a-3-fuvokaadapter-2-5m-vezetek-90304-14262")</f>
        <v>0.0</v>
      </c>
      <c r="E1493" s="7" t="n">
        <f>HYPERLINK("https://www.somogyi.hu/data/img/product_main_images/small/14262.jpg","https://www.somogyi.hu/data/img/product_main_images/small/14262.jpg")</f>
        <v>0.0</v>
      </c>
      <c r="F1493" s="2" t="inlineStr">
        <is>
          <t>8586017590304</t>
        </is>
      </c>
      <c r="G1493" s="4" t="inlineStr">
        <is>
          <t>Masszív, megbízható kialakítású, autós kompresszort szeretne vásárolni? Ez esetben ne keressen tovább!
A 90304 autós kompresszor 2,5 m-es vezetékhosszal, 18 bar, 250 PSI max. nyomással és 3 db fúvoka adapterrel rendelkezik. A termék segítségével igazán könnyedén megoldhatja a járműve kerekének a levegővel történő felfújását. Tápellátása: 12 V DC. Válassza a minőségi termékeket és rendeljen webáruházunkból.</t>
        </is>
      </c>
    </row>
    <row r="1494">
      <c r="A1494" s="3" t="inlineStr">
        <is>
          <t>90717</t>
        </is>
      </c>
      <c r="B1494" s="2" t="inlineStr">
        <is>
          <t>SAL 90717 lábpumpa, 7 bar, légnyomásmérő, 1+2 szelepadapter</t>
        </is>
      </c>
      <c r="C1494" s="1" t="n">
        <v>4590.0</v>
      </c>
      <c r="D1494" s="7" t="n">
        <f>HYPERLINK("https://www.somogyi.hu/product/sal-90717-labpumpa-7-bar-legnyomasmero-1-2-szelepadapter-90717-13846","https://www.somogyi.hu/product/sal-90717-labpumpa-7-bar-legnyomasmero-1-2-szelepadapter-90717-13846")</f>
        <v>0.0</v>
      </c>
      <c r="E1494" s="7" t="n">
        <f>HYPERLINK("https://www.somogyi.hu/data/img/product_main_images/small/13846.jpg","https://www.somogyi.hu/data/img/product_main_images/small/13846.jpg")</f>
        <v>0.0</v>
      </c>
      <c r="F1494" s="2" t="inlineStr">
        <is>
          <t>8586017590717</t>
        </is>
      </c>
      <c r="G1494" s="4" t="inlineStr">
        <is>
          <t>Praktikus segítség a gépkocsi kerekeinek felpumpálásához! A 90717 típusú univerzális lábpumpa bárhol, bármikor, a legváratlanabb helyzetekben is használható . A termék  1+2 szelep-adapterrel rendelkezik. Alkalmas autó-motor-kerékpár gumiabroncs, gumicsónak, gumimatrac, labda… felpumpálásához, (légnyomásmérő 7 bar-ig). Válassza a minőségi termékeket és rendeljen webáruházunkból.</t>
        </is>
      </c>
    </row>
    <row r="1495">
      <c r="A1495" s="3" t="inlineStr">
        <is>
          <t>VST 01</t>
        </is>
      </c>
      <c r="B1495" s="2" t="inlineStr">
        <is>
          <t>SAL VST 01 kormánytálca, 2in1, laptoptartó, ételtartó tálca, max. 5kg, 75mm pohártartó, 420x280x22 mm</t>
        </is>
      </c>
      <c r="C1495" s="1" t="n">
        <v>3090.0</v>
      </c>
      <c r="D1495" s="7" t="n">
        <f>HYPERLINK("https://www.somogyi.hu/product/sal-vst-01-kormanytalca-2in1-laptoptarto-eteltarto-talca-max-5kg-75mm-pohartarto-420x280x22-mm-vst-01-16404","https://www.somogyi.hu/product/sal-vst-01-kormanytalca-2in1-laptoptarto-eteltarto-talca-max-5kg-75mm-pohartarto-420x280x22-mm-vst-01-16404")</f>
        <v>0.0</v>
      </c>
      <c r="E1495" s="7" t="n">
        <f>HYPERLINK("https://www.somogyi.hu/data/img/product_main_images/small/16404.jpg","https://www.somogyi.hu/data/img/product_main_images/small/16404.jpg")</f>
        <v>0.0</v>
      </c>
      <c r="F1495" s="2" t="inlineStr">
        <is>
          <t>5999084944360</t>
        </is>
      </c>
      <c r="G1495" s="4" t="inlineStr">
        <is>
          <t>Élje át a kényelmet és a sokoldalúságot a VST 01 kormánytálcával, mely egyedülálló, kétoldalas kialakítással rendelkezik!
 Ez a rendkívül praktikus eszköz laptoptartóként és ételtartó tálcaként is funkcionál. 
A kormánytálca könnyű és hordozható kialakítással rendelkezik, így egyszerűen magával viheti bárhová. 
Szerszám használata nélkül felszerelhető, ezáltal gyors és egyszerű rögzítést biztosít használója számára. 
A kormánytálca teherbírása 5 kg. 
A pohártartó mérete Ø75 mm, mely ideális, poharakhoz és flakonokhoz egyaránt, így kedvenc italát mindig biztonságban tudhatja. 
A tálca méretei 420 x 280 x 22 mm, amely elegendő és kényelmes helyet biztosít a laptopjának vagy az ételének is. 
Fedezze fel a VST 01 kormánytálca egyszerűségét és funkcionalitását, és tegye még kényelmesebbé az utazások során fellépő várakozási vagy pihenő időt!</t>
        </is>
      </c>
    </row>
    <row r="1496">
      <c r="A1496" s="3" t="inlineStr">
        <is>
          <t>90205</t>
        </is>
      </c>
      <c r="B1496" s="2" t="inlineStr">
        <is>
          <t>SAL 90205 feűthető ülésvédő, 2 fokozat, pántos, kampós, szivargyújtó</t>
        </is>
      </c>
      <c r="C1496" s="1" t="n">
        <v>8990.0</v>
      </c>
      <c r="D1496" s="7" t="n">
        <f>HYPERLINK("https://www.somogyi.hu/product/sal-90205-feutheto-ulesvedo-2-fokozat-pantos-kampos-szivargyujto-90205-13772","https://www.somogyi.hu/product/sal-90205-feutheto-ulesvedo-2-fokozat-pantos-kampos-szivargyujto-90205-13772")</f>
        <v>0.0</v>
      </c>
      <c r="E1496" s="7" t="n">
        <f>HYPERLINK("https://www.somogyi.hu/data/img/product_main_images/small/13772.jpg","https://www.somogyi.hu/data/img/product_main_images/small/13772.jpg")</f>
        <v>0.0</v>
      </c>
      <c r="F1496" s="2" t="inlineStr">
        <is>
          <t>8586017590205</t>
        </is>
      </c>
      <c r="G1496" s="4" t="inlineStr">
        <is>
          <t xml:space="preserve"> • kiemelt jellemző: 2 fokozatú fűtés, rugalmas pántokkal és tartozék kampókkal gyorsan rögzíthető 
 • tartozék: kampók 
 • tápellátás: 12 V DC 
 • méret: 440 x 400/440 x 440 mm</t>
        </is>
      </c>
    </row>
    <row r="1497">
      <c r="A1497" s="6" t="inlineStr">
        <is>
          <t xml:space="preserve">   Jármű, járműfelszerelés / Autóápolás</t>
        </is>
      </c>
      <c r="B1497" s="6" t="inlineStr">
        <is>
          <t/>
        </is>
      </c>
      <c r="C1497" s="6" t="inlineStr">
        <is>
          <t/>
        </is>
      </c>
      <c r="D1497" s="6" t="inlineStr">
        <is>
          <t/>
        </is>
      </c>
      <c r="E1497" s="6" t="inlineStr">
        <is>
          <t/>
        </is>
      </c>
      <c r="F1497" s="6" t="inlineStr">
        <is>
          <t/>
        </is>
      </c>
      <c r="G1497" s="6" t="inlineStr">
        <is>
          <t/>
        </is>
      </c>
    </row>
    <row r="1498">
      <c r="A1498" s="3" t="inlineStr">
        <is>
          <t>W 340</t>
        </is>
      </c>
      <c r="B1498" s="2" t="inlineStr">
        <is>
          <t>Home W 340 szilikon spray, 300 ml</t>
        </is>
      </c>
      <c r="C1498" s="1" t="n">
        <v>1890.0</v>
      </c>
      <c r="D1498" s="7" t="n">
        <f>HYPERLINK("https://www.somogyi.hu/product/home-w-340-szilikon-spray-300-ml-w-340-3175","https://www.somogyi.hu/product/home-w-340-szilikon-spray-300-ml-w-340-3175")</f>
        <v>0.0</v>
      </c>
      <c r="E1498" s="7" t="n">
        <f>HYPERLINK("https://www.somogyi.hu/data/img/product_main_images/small/03175.jpg","https://www.somogyi.hu/data/img/product_main_images/small/03175.jpg")</f>
        <v>0.0</v>
      </c>
      <c r="F1498" s="2" t="inlineStr">
        <is>
          <t>5997539300549</t>
        </is>
      </c>
      <c r="G1498" s="4" t="inlineStr">
        <is>
          <t>Szeretne egy univerzális megoldást, ami minden szerelési és karbantartási feladatban segítségére lehet? A Home W 340 szilikon spray az Ön számára készült, legyen szó ipari, autóipari használatról vagy akár az otthoni apró javításokról.
Ez a sokoldalú szilikon spray kiválóan alkalmazható szerelési, karbantartási és ápolási munkákhoz az ipar és az autóipar számos területén. A Home W 340 különleges formulája nemcsak megkönnyíti az alkatrészek mozgását és védi őket a kopástól, de villamos csatlakozások nedvesség elleni védelmében is hatékony, így biztosítva az elektronikai berendezések hosszabb élettartamát. A 300ml-es kiszerelés biztosítja, hogy elegendő mennyiség álljon rendelkezésre a szükséges alkalmazásokhoz, legyen szó bármilyen munkáról. A spray formája lehetővé teszi a gyors és egyszerű alkalmazást, még a nehezen hozzáférhető helyeken is.
Fedezze fel a Home W 340 szilikon spray által kínált védelmet és sokoldalúságot.</t>
        </is>
      </c>
    </row>
    <row r="1499">
      <c r="A1499" s="3" t="inlineStr">
        <is>
          <t>TE01712</t>
        </is>
      </c>
      <c r="B1499" s="2" t="inlineStr">
        <is>
          <t>Home TEO1712 klímatisztító aeroszol, 150 ml</t>
        </is>
      </c>
      <c r="C1499" s="1" t="n">
        <v>3090.0</v>
      </c>
      <c r="D1499" s="7" t="n">
        <f>HYPERLINK("https://www.somogyi.hu/product/home-teo1712-klimatisztito-aeroszol-150-ml-te01712-15405","https://www.somogyi.hu/product/home-teo1712-klimatisztito-aeroszol-150-ml-te01712-15405")</f>
        <v>0.0</v>
      </c>
      <c r="E1499" s="7" t="n">
        <f>HYPERLINK("https://www.somogyi.hu/data/img/product_main_images/small/15405.jpg","https://www.somogyi.hu/data/img/product_main_images/small/15405.jpg")</f>
        <v>0.0</v>
      </c>
      <c r="F1499" s="2" t="inlineStr">
        <is>
          <t>5997074517129</t>
        </is>
      </c>
      <c r="G1499" s="4" t="inlineStr">
        <is>
          <t>Egy gyors és hatékony megoldást keres, hogy autójában mindig tiszta és friss legyen a levegő? A Home TEO1712 klímatisztító aeroszol az Ön számára készült. 
Ez a 150 ml-es klímatisztító aeroszol kifejezetten arra készült, hogy eltávolítsa a klímaberendezések járataiban lerakódó, kellemetlen szagokat okozó szennyeződéseket. Ennek eredményeként az utastér levegője üde és friss lesz, amit minden utas értékelni fog. A Home TEO1712 használatával nem csak a kellemetlen szagokkal számolhat le, hanem hozzájárulhat az autóklíma rendszerének hosszabb élettartamához is. A különleges összetevők gondoskodnak arról, hogy a klíma járatai tiszták maradjanak, így az autóklíma hatékonyabban és hosszabb ideig működhet problémamentesen. A termék használata egyszerű és gyors, így bárki könnyedén gondoskodhat autója klíma rendszerének karbantartásáról.
Tegyen a tiszta és egészséges utastérért a Home TEO1712 klímatisztító aeroszollal. Az egyszerű használat és a hatékony tisztítás garantálja, hogy autójában mindig friss és kellemes legyen a levegő.</t>
        </is>
      </c>
    </row>
    <row r="1500">
      <c r="A1500" s="3" t="inlineStr">
        <is>
          <t>TE01431</t>
        </is>
      </c>
      <c r="B1500" s="2" t="inlineStr">
        <is>
          <t>Home TEO1431 jégoldó, kaparófejes, 400 ml</t>
        </is>
      </c>
      <c r="C1500" s="1" t="n">
        <v>2090.0</v>
      </c>
      <c r="D1500" s="7" t="n">
        <f>HYPERLINK("https://www.somogyi.hu/product/home-teo1431-jegoldo-kaparofejes-400-ml-te01431-6973","https://www.somogyi.hu/product/home-teo1431-jegoldo-kaparofejes-400-ml-te01431-6973")</f>
        <v>0.0</v>
      </c>
      <c r="E1500" s="7" t="n">
        <f>HYPERLINK("https://www.somogyi.hu/data/img/product_main_images/small/06973.jpg","https://www.somogyi.hu/data/img/product_main_images/small/06973.jpg")</f>
        <v>0.0</v>
      </c>
      <c r="F1500" s="2" t="inlineStr">
        <is>
          <t>5998312759868</t>
        </is>
      </c>
      <c r="G1500" s="4" t="inlineStr">
        <is>
          <t>Van már megoldása a téli reggelek egyik legnagyobb kihívására? A Home TEO1431 jégoldóval véget vethet az autóüvegek jegesedése okozta problémáknak. 
Ez a különleges, 400 ml-es kiszerelésű jégoldó spray nem csak megkönnyíti a hideg időszakokban szükséges előkészületeket, de a kaparófejes kialakításának köszönhetően jelentősen felgyorsítja a jégréteg eltávolítását is. A termék hajtógáza speciálisan kifejlesztett összetétel, amely még a legnagyobb hidegben is garantálja a spray hatékonyságát és kiüríthetőségét, így biztosítva, hogy soha többé ne kelljen feleslegesen időt töltenie a jégkaparásra.
A Home TEO1431 jégoldóval nemcsak időt, hanem erőfeszítést is megtakaríthat. A kaparófej és a hatékony jégoldó formula kombinációjával a termék lehetővé teszi a gyors és egyszerű jégeltávolítást, anélkül, hogy károsítaná az autóüvegek felületét. Legyen szó bármilyen hidegről, ez a jégoldó spray megbízható társ lesz a téli hónapokban.
Ne hagyja, hogy a téli időjárás akadályozza napjainak kezdetét. Próbálja ki a Home TEO1431 jégoldót, és élvezze a zökkenőmentes reggeleket, még a legzordabb téli napokon is.</t>
        </is>
      </c>
    </row>
    <row r="1501">
      <c r="A1501" s="3" t="inlineStr">
        <is>
          <t>TE00706</t>
        </is>
      </c>
      <c r="B1501" s="2" t="inlineStr">
        <is>
          <t>Home TE00706 zárolajzó jégoldó, 50 ml</t>
        </is>
      </c>
      <c r="C1501" s="1" t="n">
        <v>1050.0</v>
      </c>
      <c r="D1501" s="7" t="n">
        <f>HYPERLINK("https://www.somogyi.hu/product/home-te00706-zarolajzo-jegoldo-50-ml-te00706-6964","https://www.somogyi.hu/product/home-te00706-zarolajzo-jegoldo-50-ml-te00706-6964")</f>
        <v>0.0</v>
      </c>
      <c r="E1501" s="7" t="n">
        <f>HYPERLINK("https://www.somogyi.hu/data/img/product_main_images/small/06964.jpg","https://www.somogyi.hu/data/img/product_main_images/small/06964.jpg")</f>
        <v>0.0</v>
      </c>
      <c r="F1501" s="2" t="inlineStr">
        <is>
          <t>5998312759776</t>
        </is>
      </c>
      <c r="G1501" s="4" t="inlineStr">
        <is>
          <t>Fagyott zárakkal küzd a hideg időszakban, és a nyári hónapokban is szeretné megóvni zárait? A Home TE00706 zárolajzó jégoldó a tökéletes megoldás az Ön számára, amely egész évben gondoskodik zárai karbantartásáról.
A Home TE00706 egy különleges aeroszol, amelynek speciális szórófeje lehetővé teszi, hogy a hatóanyagok könnyedén eljussanak a zár belsejébe. Ez a termék nem csak télen nyújt gyors megoldást a befagyott zárak olvasztására, de nyáron is használható, mint kiváló kenő- és korrózióvédő szer. Az ápoló összetevők biztosítják, hogy a zárak simán működjenek, megakadályozva ezzel a kopást és a rozsdásodást. 50ml-es kiszerelésével a Home TE00706 zárolajzó jégoldó praktikus és hordozható, így mindig kéznél lehet, amikor szükség van rá. Legyen szó autóról, otthonról vagy akár irodáról, ez a termék segít megőrizni a zárak állapotát és biztonságát.
Ne hagyja, hogy a zárak befagyása vagy kopása megnehezítse a mindennapjait!</t>
        </is>
      </c>
    </row>
    <row r="1502">
      <c r="A1502" s="3" t="inlineStr">
        <is>
          <t>TE01814</t>
        </is>
      </c>
      <c r="B1502" s="2" t="inlineStr">
        <is>
          <t>Home TEO1814 jégoldó, szórófejes, 500 ml</t>
        </is>
      </c>
      <c r="C1502" s="1" t="n">
        <v>1690.0</v>
      </c>
      <c r="D1502" s="7" t="n">
        <f>HYPERLINK("https://www.somogyi.hu/product/home-teo1814-jegoldo-szorofejes-500-ml-te01814-6961","https://www.somogyi.hu/product/home-teo1814-jegoldo-szorofejes-500-ml-te01814-6961")</f>
        <v>0.0</v>
      </c>
      <c r="E1502" s="7" t="n">
        <f>HYPERLINK("https://www.somogyi.hu/data/img/product_main_images/small/06961.jpg","https://www.somogyi.hu/data/img/product_main_images/small/06961.jpg")</f>
        <v>0.0</v>
      </c>
      <c r="F1502" s="2" t="inlineStr">
        <is>
          <t>5998312759745</t>
        </is>
      </c>
      <c r="G1502" s="4" t="inlineStr">
        <is>
          <t>Belefáradt reggeli autó jégtelenítésbe? A Home TEO1814 jégoldóval könnyedén megbirkózhat a tél legnagyobb kihívásaival. 
Ez a szórópisztolyos kialakítású, 500 ml-es jégoldó ideális választás gépjárművek ablakainak, befagyott záraknak és kézifékeknek a jégtelenítésére. Az innovatív formula nem csak hatékonyan oldja meg a jégről való megszabadulás feladatát, de az üvegfelületekről is könnyedén eltávolítható, puha ruhával vagy ablaktörlővel, anélkül, hogy nyomot hagyna.
A Home TEO1814 jégoldó használata nem csupán időtakarékos, hanem rendkívül hatékony is. A szórópisztolyos fejnek köszönhetően a jégoldó anyag pontosan, célzottan alkalmazható, így elkerülhető a felesleges pazarlás és a környező területek szennyeződése. Ez a termék garantálja, hogy gépjárműve gyorsan és biztonságosan indulhat útnak, még a legzordabb téli napokon is.
Indítsa zökkenőmentesen a napját a Home TEO1814 jégoldó használatával. Próbálja ki ezt a gyors és hatékony megoldást, és búcsúzzon el a reggeli jégtelenítési problémáktól.</t>
        </is>
      </c>
    </row>
    <row r="1503">
      <c r="A1503" s="3" t="inlineStr">
        <is>
          <t>TE00318 (MK SZ01)</t>
        </is>
      </c>
      <c r="B1503" s="2" t="inlineStr">
        <is>
          <t>Home TE00318 (MK SZ01) szilikon spray, 300 ml</t>
        </is>
      </c>
      <c r="C1503" s="1" t="n">
        <v>2490.0</v>
      </c>
      <c r="D1503" s="7" t="n">
        <f>HYPERLINK("https://www.somogyi.hu/product/home-te00318-mk-sz01-szilikon-spray-300-ml-te00318-mk-sz01-6606","https://www.somogyi.hu/product/home-te00318-mk-sz01-szilikon-spray-300-ml-te00318-mk-sz01-6606")</f>
        <v>0.0</v>
      </c>
      <c r="E1503" s="7" t="n">
        <f>HYPERLINK("https://www.somogyi.hu/data/img/product_main_images/small/06606.jpg","https://www.somogyi.hu/data/img/product_main_images/small/06606.jpg")</f>
        <v>0.0</v>
      </c>
      <c r="F1503" s="2" t="inlineStr">
        <is>
          <t>5997074503184</t>
        </is>
      </c>
      <c r="G1503" s="4" t="inlineStr">
        <is>
          <t>Szeretné, ha autója vagy otthona műanyag, műbőr és gumi részei újra fényesek és életerősek lennének? A Home TE00318 (MK SZ01) szilikon spray az ideális megoldás azok számára, akik a felületek ápolását és védelmét fontosnak tartják.
Ez a kiváló minőségű szilikon spray tökéletes választás műanyag, műbőr és gumi felületek ápolására, színfelfrissítésére és konzerválására. A kezelés után a felületek nemcsak hogy fényesebbek lesznek, de kevésbé hajlamosak a repedezésre és az öregedésre, így hosszú távon megőrzik eredeti szépségüket és állapotukat. A Home TE00318 szilikon spray nem csak felületek ápolására alkalmas, hanem mozgó alkatrészek kenésére is kiváló, így széles körű használata biztosított a háztartásban és a műhelyben egyaránt. A 300 ml-es kiszerelés biztosítja, hogy elegendő mennyiség álljon rendelkezésre a szükséges alkalmazásokhoz.
Használja a Home TE00318 (MK SZ01) szilikon spray-t, és adjon új életet a műanyag, műbőr és gumi felületeknek.</t>
        </is>
      </c>
    </row>
    <row r="1504">
      <c r="A1504" s="3" t="inlineStr">
        <is>
          <t>090508</t>
        </is>
      </c>
      <c r="B1504" s="2" t="inlineStr">
        <is>
          <t>Home 090508 légkondícionáló tisztító hab, 500 ml, autó, beltéri klíma</t>
        </is>
      </c>
      <c r="C1504" s="1" t="n">
        <v>4390.0</v>
      </c>
      <c r="D1504" s="7" t="n">
        <f>HYPERLINK("https://www.somogyi.hu/product/home-090508-legkondicionalo-tisztito-hab-500-ml-auto-belteri-klima-090508-14171","https://www.somogyi.hu/product/home-090508-legkondicionalo-tisztito-hab-500-ml-auto-belteri-klima-090508-14171")</f>
        <v>0.0</v>
      </c>
      <c r="E1504" s="7" t="n">
        <f>HYPERLINK("https://www.somogyi.hu/data/img/product_main_images/small/14171.jpg","https://www.somogyi.hu/data/img/product_main_images/small/14171.jpg")</f>
        <v>0.0</v>
      </c>
      <c r="F1504" s="2" t="inlineStr">
        <is>
          <t>8711347225842</t>
        </is>
      </c>
      <c r="G1504" s="4" t="inlineStr">
        <is>
          <t>Fordítson kellő figyelmet az autó- és otthoni klíma tisztítására is! Az 500 ml-es MO 90508 típusú klímatisztító spray egy igazi baktériumölő készítmény, amely amellett, hogy rendkívül nagy higiéniát teremt, frissítő kellemes illatot is biztosít. Válassza a minőségi termékeket és rendeljen webáruházunkból.</t>
        </is>
      </c>
    </row>
    <row r="1505">
      <c r="A1505" s="6" t="inlineStr">
        <is>
          <t xml:space="preserve">   Jármű, járműfelszerelés / Elektromos roller</t>
        </is>
      </c>
      <c r="B1505" s="6" t="inlineStr">
        <is>
          <t/>
        </is>
      </c>
      <c r="C1505" s="6" t="inlineStr">
        <is>
          <t/>
        </is>
      </c>
      <c r="D1505" s="6" t="inlineStr">
        <is>
          <t/>
        </is>
      </c>
      <c r="E1505" s="6" t="inlineStr">
        <is>
          <t/>
        </is>
      </c>
      <c r="F1505" s="6" t="inlineStr">
        <is>
          <t/>
        </is>
      </c>
      <c r="G1505" s="6" t="inlineStr">
        <is>
          <t/>
        </is>
      </c>
    </row>
    <row r="1506">
      <c r="A1506" s="3" t="inlineStr">
        <is>
          <t>AA.05.12.01.0003</t>
        </is>
      </c>
      <c r="B1506" s="2" t="inlineStr">
        <is>
          <t>Segway Ninebot F2 E</t>
        </is>
      </c>
      <c r="C1506" s="1" t="n">
        <v>212990.0</v>
      </c>
      <c r="D1506" s="7" t="n">
        <f>HYPERLINK("https://www.somogyi.hu/product/segway-ninebot-f2-e-aa-05-12-01-0003-18279","https://www.somogyi.hu/product/segway-ninebot-f2-e-aa-05-12-01-0003-18279")</f>
        <v>0.0</v>
      </c>
      <c r="E1506" s="7" t="n">
        <f>HYPERLINK("https://www.somogyi.hu/data/img/product_main_images/small/18279.jpg","https://www.somogyi.hu/data/img/product_main_images/small/18279.jpg")</f>
        <v>0.0</v>
      </c>
      <c r="F1506" s="2" t="inlineStr">
        <is>
          <t>8720254406442</t>
        </is>
      </c>
      <c r="G1506" s="4" t="inlineStr">
        <is>
          <t xml:space="preserve"> • hatótávolság: maximum távolság: kb. 40 km* (tipikus hatótáv: 33 km) 
 • teljesítmény: 400 W 
 • terhelhetőség: maximális terhelhetőség: 120 kg 
 • akkumulátor: 367 Wh (10200 mAh) • töltési idő: kb. 6,5 óra 
 • emelkedő: maximális emelkedési szög: 18% 
 • sebesség: maximum sebesség: 25 km/h 
 • világítás: fények: elöl - 2,1 W-os nagy teljesítményű LED és hátsó LED-es lámpa • beépített első és hátsó irányjelzők a biztonságos közlekedés érdekében 
 • fék: hátul - elektronikus fék; elöl - tárcsafék 
 • IP védettség: IPX5 
 • egyéb információ: első, hátsó és oldalsó E-MARK fényvisszaverők • csengő • rendszám tartó • teljes információs, színes műszerfal kijelző 
 • súly: nettó súly: 17.5 kg 
 • méret: kinyitva: 1143 x 570 x 1214 mm / összecsukva: 1143 x 570 x 484 mm • első/hátsó gumi abroncsok mérete: 254 mm/254 mm 
 • jellemzők: intelligens akkumulátor kezelő rendszer • akkumulátor és vezetési mód jelző LED világítás • belső nélküli pneumatikus gumiabroncsok zselés réteggel (önjavító gumiabroncsok) • menetstabilizátor • bluetooth kapcsolat, APP monitor</t>
        </is>
      </c>
    </row>
    <row r="1507">
      <c r="A1507" s="3" t="inlineStr">
        <is>
          <t>AA.10.14.02.0001</t>
        </is>
      </c>
      <c r="B1507" s="2" t="inlineStr">
        <is>
          <t>Segway Ninebot E2 PLUS E</t>
        </is>
      </c>
      <c r="C1507" s="1" t="n">
        <v>132990.0</v>
      </c>
      <c r="D1507" s="7" t="n">
        <f>HYPERLINK("https://www.somogyi.hu/product/segway-ninebot-e2-plus-e-aa-10-14-02-0001-18280","https://www.somogyi.hu/product/segway-ninebot-e2-plus-e-aa-10-14-02-0001-18280")</f>
        <v>0.0</v>
      </c>
      <c r="E1507" s="7" t="n">
        <f>HYPERLINK("https://www.somogyi.hu/data/img/product_main_images/small/18280.jpg","https://www.somogyi.hu/data/img/product_main_images/small/18280.jpg")</f>
        <v>0.0</v>
      </c>
      <c r="F1507" s="2" t="inlineStr">
        <is>
          <t>8720254405278</t>
        </is>
      </c>
      <c r="G1507" s="4" t="inlineStr">
        <is>
          <t>Kíváncsi, hogyan teheti a mindennapi utazást gyorsabbá és szórakoztatóbbá? A Segway Ninebot E2 PLUS E elektromos rollerrel ez könnyedén megvalósítható!
Ez a modern, hatékony roller ideális választás 14 éves kor feletti felhasználóknak, akiknek fontos a gyors és kényelmes közlekedés. A roller maximális terhelhetősége 90 kg. Kinyitott állapotban a méretei 1070 x 445 x 1140 mm, míg összecsukva csupán 1070 x 445 x 550 mm, ezáltal könnyedén szállítható és tárolható. Nettó súlya 14,4 kg, amely ideális egyensúlyt biztosít a stabilitás és a hordozhatóság között.
A roller maximális sebessége 25 km/h, ami lehetővé teszi a gyors haladást a városi forgalomban. A tipikus hatótávja 20 km, ami biztosítja, hogy a legtöbb napi útvonalat egyetlen töltéssel megtehesse. A roller maximális emelkedési szöge 12%, így meredek lejtős területeken is jól használható. Az IPX4-es vízállósági besorolás biztosítja, hogy a roller és az akkumulátor (IPX6 besorolású) is ellenálljon a fröccsenő víznek. Az 220 Wh kapacitású akkumulátor intelligens kezelő rendszere mindig optimális teljesítményt nyújt, a teljes töltési idő pedig körülbelül 7,5 óra.
A roller 300W-os (maximális teljesítménye 500W) motorral rendelkezik, és a fékezés biztonságos, köszönhetően a hátul található dobféknek és az elöl lévő elektronikus féknek. A világításról a 2,1 W-os nagy teljesítményű LED első fény, a hátsó LED-es lámpa, valamint az első, hátsó és oldalsó E-MARK fényvisszaverők gondoskodnak.
További jellemzők közé tartozik a csengő, rendszámtartó, valamint a 2,8"-os LED kijelző, amely az akkumulátor állapotát és a vezetési módot mutatja. A roller belső üreges gumiabroncsokkal van felszerelve, amelyek méretei elől 200 mm, hátul 203 mm. A bluetooth kapcsolat és az APP monitor lehetővé teszi az eszköz okostelefonnal történő összekapcsolását, a teljes információs, színes műszerfal pedig minden szükséges információt megjelenít. A roller három különböző vezetési módot (Eco, Drive, Sport) kínál, plusz egy sétáló módot.
Fedezze fel a várost új szemszögből a Segway Ninebot E2 PLUS E rollerrel! Élvezze a kényelmet, gyorsaságot és technológiát minden egyes utazás során!</t>
        </is>
      </c>
    </row>
    <row r="1508">
      <c r="A1508" s="6" t="inlineStr">
        <is>
          <t xml:space="preserve">   Egészség, szépség / Okos- és fitnesz karóra</t>
        </is>
      </c>
      <c r="B1508" s="6" t="inlineStr">
        <is>
          <t/>
        </is>
      </c>
      <c r="C1508" s="6" t="inlineStr">
        <is>
          <t/>
        </is>
      </c>
      <c r="D1508" s="6" t="inlineStr">
        <is>
          <t/>
        </is>
      </c>
      <c r="E1508" s="6" t="inlineStr">
        <is>
          <t/>
        </is>
      </c>
      <c r="F1508" s="6" t="inlineStr">
        <is>
          <t/>
        </is>
      </c>
      <c r="G1508" s="6" t="inlineStr">
        <is>
          <t/>
        </is>
      </c>
    </row>
    <row r="1509">
      <c r="A1509" s="3" t="inlineStr">
        <is>
          <t>CNS-SW63BB</t>
        </is>
      </c>
      <c r="B1509" s="2" t="inlineStr">
        <is>
          <t>CANYON Lollypop okosóra</t>
        </is>
      </c>
      <c r="C1509" s="1" t="n">
        <v>16790.0</v>
      </c>
      <c r="D1509" s="7" t="n">
        <f>HYPERLINK("https://www.somogyi.hu/product/canyon-lollypop-okosora-cns-sw63bb-18371","https://www.somogyi.hu/product/canyon-lollypop-okosora-cns-sw63bb-18371")</f>
        <v>0.0</v>
      </c>
      <c r="E1509" s="7" t="n">
        <f>HYPERLINK("https://www.somogyi.hu/data/img/product_main_images/small/18371.jpg","https://www.somogyi.hu/data/img/product_main_images/small/18371.jpg")</f>
        <v>0.0</v>
      </c>
      <c r="F1509" s="2" t="inlineStr">
        <is>
          <t>5291485008512</t>
        </is>
      </c>
      <c r="G1509" s="4" t="inlineStr">
        <is>
          <t xml:space="preserve"> • színe: fekete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510">
      <c r="A1510" s="3" t="inlineStr">
        <is>
          <t>SMW FIT</t>
        </is>
      </c>
      <c r="B1510" s="2" t="inlineStr">
        <is>
          <t>Home SMW FIT fitnesz okosóra, pulzusmérés, vérnyomásmérés, véroxigénmérés, lépésszámlálás, alváselemzés, unisex,  IP67 védettség, 1,55” érintőképernyő, 2.5D üveg</t>
        </is>
      </c>
      <c r="C1510" s="1" t="n">
        <v>12190.0</v>
      </c>
      <c r="D1510" s="7" t="n">
        <f>HYPERLINK("https://www.somogyi.hu/product/home-smw-fit-fitnesz-okosora-pulzusmeres-vernyomasmeres-veroxigenmeres-lepesszamlalas-alvaselemzes-unisex-ip67-vedettseg-1-55-erintokepernyo-2-5d-uveg-smw-fit-17593","https://www.somogyi.hu/product/home-smw-fit-fitnesz-okosora-pulzusmeres-vernyomasmeres-veroxigenmeres-lepesszamlalas-alvaselemzes-unisex-ip67-vedettseg-1-55-erintokepernyo-2-5d-uveg-smw-fit-17593")</f>
        <v>0.0</v>
      </c>
      <c r="E1510" s="7" t="n">
        <f>HYPERLINK("https://www.somogyi.hu/data/img/product_main_images/small/17593.jpg","https://www.somogyi.hu/data/img/product_main_images/small/17593.jpg")</f>
        <v>0.0</v>
      </c>
      <c r="F1510" s="2" t="inlineStr">
        <is>
          <t>5999084956158</t>
        </is>
      </c>
      <c r="G1510" s="4" t="inlineStr">
        <is>
          <t>Az SMW FIT Fitnesz okosóra nagy segítséget nyújt az egészséges életmódban és a testmozgásban, melyet soha nem késő elkezdeni.
Számos hasznos tulajdonságai közül a legfontosabbak a 24 órás pulzusmérés, vérnyomásteszt- és véroxigén mérés. 
Unisex stílusa, könnyű és vékony kivitelének köszönhetően nők, férfiak, gyerekek előszeretettel használhatják. A 20 mm-es szilikon csuklópánt egyszerűen, akár szerszámok nélkül is lecserélhető. 230 mm csukló kerületig ajánlott a viselése. 
IP 67 víz elleni védettséggel ellátott. 
iPhone iOS 8.0 és Android 5.0 vagy újabb telefonokhoz alkalmas, melyre egy angol nyelvű alkalmazást szükséges telepíteni és már kezdődhet a sportolás.</t>
        </is>
      </c>
    </row>
    <row r="1511">
      <c r="A1511" s="3" t="inlineStr">
        <is>
          <t>CNS-SW63SW</t>
        </is>
      </c>
      <c r="B1511" s="2" t="inlineStr">
        <is>
          <t>CANYON Lollypop okosóra</t>
        </is>
      </c>
      <c r="C1511" s="1" t="n">
        <v>16790.0</v>
      </c>
      <c r="D1511" s="7" t="n">
        <f>HYPERLINK("https://www.somogyi.hu/product/canyon-lollypop-okosora-cns-sw63sw-18372","https://www.somogyi.hu/product/canyon-lollypop-okosora-cns-sw63sw-18372")</f>
        <v>0.0</v>
      </c>
      <c r="E1511" s="7" t="n">
        <f>HYPERLINK("https://www.somogyi.hu/data/img/product_main_images/small/18372.jpg","https://www.somogyi.hu/data/img/product_main_images/small/18372.jpg")</f>
        <v>0.0</v>
      </c>
      <c r="F1511" s="2" t="inlineStr">
        <is>
          <t>5291485008529</t>
        </is>
      </c>
      <c r="G1511" s="4" t="inlineStr">
        <is>
          <t xml:space="preserve"> • színe: fehér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512">
      <c r="A1512" s="6" t="inlineStr">
        <is>
          <t xml:space="preserve">   Egészség, szépség / Alkoholszonda</t>
        </is>
      </c>
      <c r="B1512" s="6" t="inlineStr">
        <is>
          <t/>
        </is>
      </c>
      <c r="C1512" s="6" t="inlineStr">
        <is>
          <t/>
        </is>
      </c>
      <c r="D1512" s="6" t="inlineStr">
        <is>
          <t/>
        </is>
      </c>
      <c r="E1512" s="6" t="inlineStr">
        <is>
          <t/>
        </is>
      </c>
      <c r="F1512" s="6" t="inlineStr">
        <is>
          <t/>
        </is>
      </c>
      <c r="G1512" s="6" t="inlineStr">
        <is>
          <t/>
        </is>
      </c>
    </row>
    <row r="1513">
      <c r="A1513" s="3" t="inlineStr">
        <is>
          <t>94807</t>
        </is>
      </c>
      <c r="B1513" s="2" t="inlineStr">
        <is>
          <t>Home 94807 digitális alkoholszonda, gyors reagálás, tartomány: 0,00 - 0,19% BAC, mérési pontosság: 0,01% BAC, LCD-kijelző</t>
        </is>
      </c>
      <c r="C1513" s="1" t="n">
        <v>6990.0</v>
      </c>
      <c r="D1513" s="7" t="n">
        <f>HYPERLINK("https://www.somogyi.hu/product/home-94807-digitalis-alkoholszonda-gyors-reagalas-tartomany-0-00-0-19-bac-meresi-pontossag-0-01-bac-lcd-kijelzo-94807-14888","https://www.somogyi.hu/product/home-94807-digitalis-alkoholszonda-gyors-reagalas-tartomany-0-00-0-19-bac-meresi-pontossag-0-01-bac-lcd-kijelzo-94807-14888")</f>
        <v>0.0</v>
      </c>
      <c r="E1513" s="7" t="n">
        <f>HYPERLINK("https://www.somogyi.hu/data/img/product_main_images/small/14888.jpg","https://www.somogyi.hu/data/img/product_main_images/small/14888.jpg")</f>
        <v>0.0</v>
      </c>
      <c r="F1513" s="2" t="inlineStr">
        <is>
          <t>8586017594807</t>
        </is>
      </c>
      <c r="G1513" s="4" t="inlineStr">
        <is>
          <t>A digitális alkoholszonda LCD kijelzővel ellátott, melyről könnyedén leolvashatja a mért értéket. Hangjelzéssel figyelmeztetést ad ki, amennyiben a mért érték pozitív. Használat gyors és egyszerű, 5 mp alatt, 0.001% BAC pontossággal mutatja a mért értéket. 0.00-0.19% BAC tartományban mér. 
Tápellátása 2 db 1,5 V miniceruza (AAA) elemmel történik, melyet a csomag nem tartalmaz.</t>
        </is>
      </c>
    </row>
    <row r="1514">
      <c r="A1514" s="6" t="inlineStr">
        <is>
          <t xml:space="preserve">   Egészség, szépség / PH-teszter</t>
        </is>
      </c>
      <c r="B1514" s="6" t="inlineStr">
        <is>
          <t/>
        </is>
      </c>
      <c r="C1514" s="6" t="inlineStr">
        <is>
          <t/>
        </is>
      </c>
      <c r="D1514" s="6" t="inlineStr">
        <is>
          <t/>
        </is>
      </c>
      <c r="E1514" s="6" t="inlineStr">
        <is>
          <t/>
        </is>
      </c>
      <c r="F1514" s="6" t="inlineStr">
        <is>
          <t/>
        </is>
      </c>
      <c r="G1514" s="6" t="inlineStr">
        <is>
          <t/>
        </is>
      </c>
    </row>
    <row r="1515">
      <c r="A1515" s="3" t="inlineStr">
        <is>
          <t>PHT 01</t>
        </is>
      </c>
      <c r="B1515" s="2" t="inlineStr">
        <is>
          <t>Home PHT 01 pH teszter &amp; hőmérő, savasság és lúgosság mérésére, pH0,00-14,00, 0–60°C, folyadék és levegő hőmérsékletének mérése, LCD-kijelző</t>
        </is>
      </c>
      <c r="C1515" s="1" t="n">
        <v>4690.0</v>
      </c>
      <c r="D1515" s="7" t="n">
        <f>HYPERLINK("https://www.somogyi.hu/product/home-pht-01-ph-teszter-homero-savassag-es-lugossag-meresere-ph0-00-14-00-0-60-c-folyadek-es-levego-homersekletenek-merese-lcd-kijelzo-pht-01-12038","https://www.somogyi.hu/product/home-pht-01-ph-teszter-homero-savassag-es-lugossag-meresere-ph0-00-14-00-0-60-c-folyadek-es-levego-homersekletenek-merese-lcd-kijelzo-pht-01-12038")</f>
        <v>0.0</v>
      </c>
      <c r="E1515" s="7" t="n">
        <f>HYPERLINK("https://www.somogyi.hu/data/img/product_main_images/small/12038.jpg","https://www.somogyi.hu/data/img/product_main_images/small/12038.jpg")</f>
        <v>0.0</v>
      </c>
      <c r="F1515" s="2" t="inlineStr">
        <is>
          <t>5999084902506</t>
        </is>
      </c>
      <c r="G1515" s="4" t="inlineStr">
        <is>
          <t>Felejtse el a bajlódást a tesztcsíkokkal, helyette éljen a korszerű lehetőségekkel és vegye igénybe a PH teszter és hőmérő nyújtotta lehetőséget!
A PHT 01 egy 4 digites kijelzőn mutatja ki, hogy az adott anyag mekkora PH értékben tartalmaz savat vagy lúgot, továbbá alkalmas a folyadék illetve a levegő hőmérsékletének a mérésére is.
A termék használata rendkívül gyors és egyszerű. 
Többek között ideális úszómedence, pezsgőfürdő, akvárium, halastó, csapvíz, ásványvíz, gyümölcslé, bor, pálinkafőzés, kávé, tea, öntözővíz stb. PH értékének a jelzésére. Válassza a minőségi termékeket és rendeljen webáruházunkból!</t>
        </is>
      </c>
    </row>
    <row r="1516">
      <c r="A1516" s="6" t="inlineStr">
        <is>
          <t xml:space="preserve">   Egészség, szépség / Sókristálylámpa, mécses</t>
        </is>
      </c>
      <c r="B1516" s="6" t="inlineStr">
        <is>
          <t/>
        </is>
      </c>
      <c r="C1516" s="6" t="inlineStr">
        <is>
          <t/>
        </is>
      </c>
      <c r="D1516" s="6" t="inlineStr">
        <is>
          <t/>
        </is>
      </c>
      <c r="E1516" s="6" t="inlineStr">
        <is>
          <t/>
        </is>
      </c>
      <c r="F1516" s="6" t="inlineStr">
        <is>
          <t/>
        </is>
      </c>
      <c r="G1516" s="6" t="inlineStr">
        <is>
          <t/>
        </is>
      </c>
    </row>
    <row r="1517">
      <c r="A1517" s="3" t="inlineStr">
        <is>
          <t>SKM 57</t>
        </is>
      </c>
      <c r="B1517" s="2" t="inlineStr">
        <is>
          <t>Home SKM 57 sókristálymécses, kivájt mécsestartó, 0,5 – 0,7 kg tömegű</t>
        </is>
      </c>
      <c r="C1517" s="1" t="n">
        <v>1450.0</v>
      </c>
      <c r="D1517" s="7" t="n">
        <f>HYPERLINK("https://www.somogyi.hu/product/home-skm-57-sokristalymecses-kivajt-mecsestarto-0-5-0-7-kg-tomegu-skm-57-7413","https://www.somogyi.hu/product/home-skm-57-sokristalymecses-kivajt-mecsestarto-0-5-0-7-kg-tomegu-skm-57-7413")</f>
        <v>0.0</v>
      </c>
      <c r="E1517" s="7" t="n">
        <f>HYPERLINK("https://www.somogyi.hu/data/img/product_main_images/small/07413.jpg","https://www.somogyi.hu/data/img/product_main_images/small/07413.jpg")</f>
        <v>0.0</v>
      </c>
      <c r="F1517" s="2" t="inlineStr">
        <is>
          <t>5998312764022</t>
        </is>
      </c>
      <c r="G1517"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sókristálymécses. A sókristály a 100 %-ig természetes anyagokból áll, amely a hő hatására negatív ionokat szabadít fel. A negatív ionok kompenzálják a számítógépek, klímák és egyéb elektromos berendezések által kibocsátott pozitív ionok egészségre káros hatásait. A sókristálymécses kellemes fényt sugároz, amely elősegíti szervezetünk mind testi, mind lelki egyensúlyát.
Az SKM 57 sókristálymécses kivájt mécsestartóval rendelkezik, amely 0,5-0,7 kg-ig terjedő tömegben kapható. Válassza a minőségi termékeket és rendeljen webáruházunkból!</t>
        </is>
      </c>
    </row>
    <row r="1518">
      <c r="A1518" s="3" t="inlineStr">
        <is>
          <t>WS 2300</t>
        </is>
      </c>
      <c r="B1518" s="2" t="inlineStr">
        <is>
          <t>Home WS 2300 sókristálylámpa, fa talp E14 foglalattal, 1,5 m tápkábel kapcsolóval, 2-3 kg tömegű, 15 W-os izzó tartozék, 230 V</t>
        </is>
      </c>
      <c r="C1518" s="1" t="n">
        <v>7290.0</v>
      </c>
      <c r="D1518" s="7" t="n">
        <f>HYPERLINK("https://www.somogyi.hu/product/home-ws-2300-sokristalylampa-fa-talp-e14-foglalattal-1-5-m-tapkabel-kapcsoloval-2-3-kg-tomegu-15-w-os-izzo-tartozek-230-v-ws-2300-9125","https://www.somogyi.hu/product/home-ws-2300-sokristalylampa-fa-talp-e14-foglalattal-1-5-m-tapkabel-kapcsoloval-2-3-kg-tomegu-15-w-os-izzo-tartozek-230-v-ws-2300-9125")</f>
        <v>0.0</v>
      </c>
      <c r="E1518" s="7" t="n">
        <f>HYPERLINK("https://www.somogyi.hu/data/img/product_main_images/small/09125.jpg","https://www.somogyi.hu/data/img/product_main_images/small/09125.jpg")</f>
        <v>0.0</v>
      </c>
      <c r="F1518" s="2" t="inlineStr">
        <is>
          <t>5998312779989</t>
        </is>
      </c>
      <c r="G1518"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WS 2300 sókristálylámpa fa talpal és E14-es foglalattal rendelkezik. A termékhez 15 W-os izzó jár. 2-3 kg-ig terjedő tömegben kapható. Válassza a minőségi termékeket és rendeljen webáruházunkból!</t>
        </is>
      </c>
    </row>
    <row r="1519">
      <c r="A1519" s="3" t="inlineStr">
        <is>
          <t>SKL 12</t>
        </is>
      </c>
      <c r="B1519" s="2" t="inlineStr">
        <is>
          <t>Home SKL 12 sókristálylámpa, fa talp E14 foglalattal, 1,5 m tápkábel kapcsolóval, 1-2 kg tömegű, 15 W-os izzó tartozék, 230 V</t>
        </is>
      </c>
      <c r="C1519" s="1" t="n">
        <v>6090.0</v>
      </c>
      <c r="D1519" s="7" t="n">
        <f>HYPERLINK("https://www.somogyi.hu/product/home-skl-12-sokristalylampa-fa-talp-e14-foglalattal-1-5-m-tapkabel-kapcsoloval-1-2-kg-tomegu-15-w-os-izzo-tartozek-230-v-skl-12-14378","https://www.somogyi.hu/product/home-skl-12-sokristalylampa-fa-talp-e14-foglalattal-1-5-m-tapkabel-kapcsoloval-1-2-kg-tomegu-15-w-os-izzo-tartozek-230-v-skl-12-14378")</f>
        <v>0.0</v>
      </c>
      <c r="E1519" s="7" t="n">
        <f>HYPERLINK("https://www.somogyi.hu/data/img/product_main_images/small/14378.jpg","https://www.somogyi.hu/data/img/product_main_images/small/14378.jpg")</f>
        <v>0.0</v>
      </c>
      <c r="F1519" s="2" t="inlineStr">
        <is>
          <t>5998250341200</t>
        </is>
      </c>
      <c r="G1519"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SKL 12 sókristálylámpa fa talpal és E14-es foglalattal rendelkezik. A termékhez 15 W-os izzó jár. 1-2 kg-ig terjedő tömegben kapható. Válassza a minőségi termékeket és rendeljen webáruházunkból!</t>
        </is>
      </c>
    </row>
    <row r="1520">
      <c r="A1520" s="6" t="inlineStr">
        <is>
          <t xml:space="preserve">   Egészség, szépség / Hajszárító</t>
        </is>
      </c>
      <c r="B1520" s="6" t="inlineStr">
        <is>
          <t/>
        </is>
      </c>
      <c r="C1520" s="6" t="inlineStr">
        <is>
          <t/>
        </is>
      </c>
      <c r="D1520" s="6" t="inlineStr">
        <is>
          <t/>
        </is>
      </c>
      <c r="E1520" s="6" t="inlineStr">
        <is>
          <t/>
        </is>
      </c>
      <c r="F1520" s="6" t="inlineStr">
        <is>
          <t/>
        </is>
      </c>
      <c r="G1520" s="6" t="inlineStr">
        <is>
          <t/>
        </is>
      </c>
    </row>
    <row r="1521">
      <c r="A1521" s="3" t="inlineStr">
        <is>
          <t>HG HSZ 22</t>
        </is>
      </c>
      <c r="B1521" s="2" t="inlineStr">
        <is>
          <t>Home HG HSZ 22 hajszárító,  teljesítmény 2200 W, 2 sebességfokozat, 3 hőmérséklet-fokozat, hideglevegő-funkció, szűkítő, fekete</t>
        </is>
      </c>
      <c r="C1521" s="1" t="n">
        <v>6990.0</v>
      </c>
      <c r="D1521" s="7" t="n">
        <f>HYPERLINK("https://www.somogyi.hu/product/home-hg-hsz-22-hajszarito-teljesitmeny-2200-w-2-sebessegfokozat-3-homerseklet-fokozat-hideglevego-funkcio-szukito-fekete-hg-hsz-22-16597","https://www.somogyi.hu/product/home-hg-hsz-22-hajszarito-teljesitmeny-2200-w-2-sebessegfokozat-3-homerseklet-fokozat-hideglevego-funkcio-szukito-fekete-hg-hsz-22-16597")</f>
        <v>0.0</v>
      </c>
      <c r="E1521" s="7" t="n">
        <f>HYPERLINK("https://www.somogyi.hu/data/img/product_main_images/small/16597.jpg","https://www.somogyi.hu/data/img/product_main_images/small/16597.jpg")</f>
        <v>0.0</v>
      </c>
      <c r="F1521" s="2" t="inlineStr">
        <is>
          <t>5999084946296</t>
        </is>
      </c>
      <c r="G1521" s="4" t="inlineStr">
        <is>
          <t>A HG HSZ 22 Hajszárító 2200 W nagy teljesítményének köszönhetően gyorsabban szárítja a hajat. Használat közben 3 hőmérséklet fokozat, valamint 2 sebességfokozat közül választhat. A hideglevegő funkció alkalmazásával a hajat nem teszi ki a hő hatásának. A készülékhez 1,65 m hosszú csatlakozó kábel tartozik, a kényelmes használat érdekében. 
Tartozékként még egy szűkítő került a hajszárító mellé a koncentrált kifújáshoz.</t>
        </is>
      </c>
    </row>
    <row r="1522">
      <c r="A1522" s="3" t="inlineStr">
        <is>
          <t>HG HSZ 18</t>
        </is>
      </c>
      <c r="B1522" s="2" t="inlineStr">
        <is>
          <t>Home HG HSZ 18 hajszárító, teljesítmény 1400 W, becsukható nyél, két fokozat, szűkítő, fekete</t>
        </is>
      </c>
      <c r="C1522" s="1" t="n">
        <v>5290.0</v>
      </c>
      <c r="D1522" s="7" t="n">
        <f>HYPERLINK("https://www.somogyi.hu/product/home-hg-hsz-18-hajszarito-teljesitmeny-1400-w-becsukhato-nyel-ket-fokozat-szukito-fekete-hg-hsz-18-16786","https://www.somogyi.hu/product/home-hg-hsz-18-hajszarito-teljesitmeny-1400-w-becsukhato-nyel-ket-fokozat-szukito-fekete-hg-hsz-18-16786")</f>
        <v>0.0</v>
      </c>
      <c r="E1522" s="7" t="n">
        <f>HYPERLINK("https://www.somogyi.hu/data/img/product_main_images/small/16786.jpg","https://www.somogyi.hu/data/img/product_main_images/small/16786.jpg")</f>
        <v>0.0</v>
      </c>
      <c r="F1522" s="2" t="inlineStr">
        <is>
          <t>5999084948184</t>
        </is>
      </c>
      <c r="G1522" s="4" t="inlineStr">
        <is>
          <t>A  HG HSZ 18 Hajszárító összecsukható, így utazások alkalmával mindig magával viheti. Használat közben 2 sebességfokozat közül választhat. A készülékhez 1,65 m hosszú csatlakozó kábel tartozik, a kényelmes használat érdekében. Tartozékként még egy szűkítő került a hajszárító mellé a koncentrált kifújáshoz. Teljesítménye 1400 W. 
A HG HSZ 18 típusú hajszárítónk ideális társ lehet utazásoknál és sportolásnál, mivel összecsukva kis helyen is elfér táskájában.</t>
        </is>
      </c>
    </row>
    <row r="1523">
      <c r="A1523" s="6" t="inlineStr">
        <is>
          <t xml:space="preserve">   Egészség, szépség / Személymérleg</t>
        </is>
      </c>
      <c r="B1523" s="6" t="inlineStr">
        <is>
          <t/>
        </is>
      </c>
      <c r="C1523" s="6" t="inlineStr">
        <is>
          <t/>
        </is>
      </c>
      <c r="D1523" s="6" t="inlineStr">
        <is>
          <t/>
        </is>
      </c>
      <c r="E1523" s="6" t="inlineStr">
        <is>
          <t/>
        </is>
      </c>
      <c r="F1523" s="6" t="inlineStr">
        <is>
          <t/>
        </is>
      </c>
      <c r="G1523" s="6" t="inlineStr">
        <is>
          <t/>
        </is>
      </c>
    </row>
    <row r="1524">
      <c r="A1524" s="3" t="inlineStr">
        <is>
          <t>HG FMZ 18</t>
        </is>
      </c>
      <c r="B1524" s="2" t="inlineStr">
        <is>
          <t>Home HG FMZ 18 fürdőszobai mérleg, méréshatár 180 kg, mérési pontosság 100 g, LCD kijelző, testzsír, testhidratáltság, izomtömeg meghatározás</t>
        </is>
      </c>
      <c r="C1524" s="1" t="n">
        <v>5990.0</v>
      </c>
      <c r="D1524" s="7" t="n">
        <f>HYPERLINK("https://www.somogyi.hu/product/home-hg-fmz-18-furdoszobai-merleg-mereshatar-180-kg-meresi-pontossag-100-g-lcd-kijelzo-testzsir-testhidrataltsag-izomtomeg-meghatarozas-hg-fmz-18-17767","https://www.somogyi.hu/product/home-hg-fmz-18-furdoszobai-merleg-mereshatar-180-kg-meresi-pontossag-100-g-lcd-kijelzo-testzsir-testhidrataltsag-izomtomeg-meghatarozas-hg-fmz-18-17767")</f>
        <v>0.0</v>
      </c>
      <c r="E1524" s="7" t="n">
        <f>HYPERLINK("https://www.somogyi.hu/data/img/product_main_images/small/17767.jpg","https://www.somogyi.hu/data/img/product_main_images/small/17767.jpg")</f>
        <v>0.0</v>
      </c>
      <c r="F1524" s="2" t="inlineStr">
        <is>
          <t>5999084957896</t>
        </is>
      </c>
      <c r="G1524" s="4" t="inlineStr">
        <is>
          <t>Kíváncsi arra, milyen az igazán okos fürdőszobai mérleg? A Home HG FMZ 18 nem csak a súlyát méri pontosan 0,1 kg-os pontossággal a 180 kg-os határig, de mélyebb betekintést nyújt testének állapotába is. Testzsír, testhidratáltság, izomtömeg és csonttömeg – ezek a paraméterek már mind megjelennek az LCD kijelzőn.
Az automatikus be- és kikapcsolással a mérleg mindig akkor áll rendelkezésre, amikor szükség van rá. Az elemállapot- és túlterheltség-kijelzéssel nem érheti meglepetés. A memória funkció lehetővé teszi 10 felhasználó adatainak tárolását, így az egész család számára ideális választás. Rugalmasan választható mérési mértékegység (kg, lb, st) gondoskodik arról, hogy mindenki számára a legjobb használhatóságot nyújtsa. Bár a 2 x 1,5 V (AAA) ceruzaelem nem tartozék, a mérleg mérete, mely 30 x 30 cm, tökéletesen illeszkedik minden fürdőszobai környezetbe.
Élje át Ön is, milyen, amikor a technológia és az egészségtudatosság találkozik: válassza a Home HG FMZ 18 fürdőszobai mérleget!</t>
        </is>
      </c>
    </row>
    <row r="1525">
      <c r="A1525" s="3" t="inlineStr">
        <is>
          <t>HG FM 12</t>
        </is>
      </c>
      <c r="B1525" s="2" t="inlineStr">
        <is>
          <t>Home HG FM 12 fürdőszobai mérleg, méréshatár 180 kg, mérési pontosság 100 g, LCD kijelző</t>
        </is>
      </c>
      <c r="C1525" s="1" t="n">
        <v>4590.0</v>
      </c>
      <c r="D1525" s="7" t="n">
        <f>HYPERLINK("https://www.somogyi.hu/product/home-hg-fm-12-furdoszobai-merleg-mereshatar-180-kg-meresi-pontossag-100-g-lcd-kijelzo-hg-fm-12-17552","https://www.somogyi.hu/product/home-hg-fm-12-furdoszobai-merleg-mereshatar-180-kg-meresi-pontossag-100-g-lcd-kijelzo-hg-fm-12-17552")</f>
        <v>0.0</v>
      </c>
      <c r="E1525" s="7" t="n">
        <f>HYPERLINK("https://www.somogyi.hu/data/img/product_main_images/small/17552.jpg","https://www.somogyi.hu/data/img/product_main_images/small/17552.jpg")</f>
        <v>0.0</v>
      </c>
      <c r="F1525" s="2" t="inlineStr">
        <is>
          <t>5999084955748</t>
        </is>
      </c>
      <c r="G1525" s="4" t="inlineStr">
        <is>
          <t>A HG FM 12 Fürdőszobai mérleg maximum teherbírása 180 kg. Az LCD kijelzőn látható az elemállapot, illetve a túlterheltséget is mutatja. Lehetőség van továbbá automatikus kikapcsolásra. 
Tápellátása 2 x 1,5 V (AAA) ceruzaelem, melyet a csomagolás nem tartalmaz.</t>
        </is>
      </c>
    </row>
    <row r="1526">
      <c r="A1526" s="6" t="inlineStr">
        <is>
          <t xml:space="preserve">   Egészség, szépség / Légtisztító</t>
        </is>
      </c>
      <c r="B1526" s="6" t="inlineStr">
        <is>
          <t/>
        </is>
      </c>
      <c r="C1526" s="6" t="inlineStr">
        <is>
          <t/>
        </is>
      </c>
      <c r="D1526" s="6" t="inlineStr">
        <is>
          <t/>
        </is>
      </c>
      <c r="E1526" s="6" t="inlineStr">
        <is>
          <t/>
        </is>
      </c>
      <c r="F1526" s="6" t="inlineStr">
        <is>
          <t/>
        </is>
      </c>
      <c r="G1526" s="6" t="inlineStr">
        <is>
          <t/>
        </is>
      </c>
    </row>
    <row r="1527">
      <c r="A1527" s="3" t="inlineStr">
        <is>
          <t>AIR 50/S</t>
        </is>
      </c>
      <c r="B1527" s="2" t="inlineStr">
        <is>
          <t>Home AIR 50/S szűrő AIR 50 légtisztítóhoz, H13 szűrési szint</t>
        </is>
      </c>
      <c r="C1527" s="1" t="n">
        <v>15290.0</v>
      </c>
      <c r="D1527" s="7" t="n">
        <f>HYPERLINK("https://www.somogyi.hu/product/home-air-50-s-szuro-air-50-legtisztitohoz-h13-szuresi-szint-air-50-s-17261","https://www.somogyi.hu/product/home-air-50-s-szuro-air-50-legtisztitohoz-h13-szuresi-szint-air-50-s-17261")</f>
        <v>0.0</v>
      </c>
      <c r="E1527" s="7" t="n">
        <f>HYPERLINK("https://www.somogyi.hu/data/img/product_main_images/small/17261.jpg","https://www.somogyi.hu/data/img/product_main_images/small/17261.jpg")</f>
        <v>0.0</v>
      </c>
      <c r="F1527" s="2" t="inlineStr">
        <is>
          <t>5999084952839</t>
        </is>
      </c>
      <c r="G1527" s="4" t="inlineStr">
        <is>
          <t>Az AIR 50/S Légszűrő betét az AIR 50 légtisztító berendezéssel kompatibilis. A légszűrőt kb 2200 óra üzemelés után ajánlott lecserélni. A készülék figyelmeztet a szűrőcserére.</t>
        </is>
      </c>
    </row>
    <row r="1528">
      <c r="A1528" s="3" t="inlineStr">
        <is>
          <t>AIR 18 WIFI/S</t>
        </is>
      </c>
      <c r="B1528" s="2" t="inlineStr">
        <is>
          <t>Home AIR 18 WIFI/S szűrő, szűrő AIR 18 WIFI légtisztítóhoz, HEPA-szűrővel</t>
        </is>
      </c>
      <c r="C1528" s="1" t="n">
        <v>7490.0</v>
      </c>
      <c r="D1528" s="7" t="n">
        <f>HYPERLINK("https://www.somogyi.hu/product/home-air-18-wifi-s-szuro-szuro-air-18-wifi-legtisztitohoz-hepa-szurovel-air-18-wifi-s-17775","https://www.somogyi.hu/product/home-air-18-wifi-s-szuro-szuro-air-18-wifi-legtisztitohoz-hepa-szurovel-air-18-wifi-s-17775")</f>
        <v>0.0</v>
      </c>
      <c r="E1528" s="7" t="n">
        <f>HYPERLINK("https://www.somogyi.hu/data/img/product_main_images/small/17775.jpg","https://www.somogyi.hu/data/img/product_main_images/small/17775.jpg")</f>
        <v>0.0</v>
      </c>
      <c r="F1528" s="2" t="inlineStr">
        <is>
          <t>5999084957971</t>
        </is>
      </c>
      <c r="G1528" s="4" t="inlineStr">
        <is>
          <t>Az AIR 18 WIFI/S Szűrő az AIR 18/WIFI légtisztító berendezéssel kompatibilis. Amennyiben a készülék vagy a hozzá tartozó applikáció a szűrő cseréjét jelzi, feltétlen tegye meg azt, a légtisztító hatékony üzemelése érdekében.</t>
        </is>
      </c>
    </row>
    <row r="1529">
      <c r="A1529" s="3" t="inlineStr">
        <is>
          <t>AIR 20/S</t>
        </is>
      </c>
      <c r="B1529" s="2" t="inlineStr">
        <is>
          <t>Szűrőkészlet AIR 20 készülékhez</t>
        </is>
      </c>
      <c r="C1529" s="1" t="n">
        <v>2690.0</v>
      </c>
      <c r="D1529" s="7" t="n">
        <f>HYPERLINK("https://www.somogyi.hu/product/szurokeszlet-air-20-keszulekhez-air-20-s-13578","https://www.somogyi.hu/product/szurokeszlet-air-20-keszulekhez-air-20-s-13578")</f>
        <v>0.0</v>
      </c>
      <c r="E1529" s="7" t="n">
        <f>HYPERLINK("https://www.somogyi.hu/data/img/product_main_images/small/13578.jpg","https://www.somogyi.hu/data/img/product_main_images/small/13578.jpg")</f>
        <v>0.0</v>
      </c>
      <c r="F1529" s="2" t="inlineStr">
        <is>
          <t>5999084916305</t>
        </is>
      </c>
      <c r="G1529" s="4" t="inlineStr">
        <is>
          <t xml:space="preserve"> • méret: 65 x 95 x 25 mm; 65 x 95 x 40 mm 
 • egyéb információ: 4 lépcsős szűrőszett az AIR 20 légtisztítóhoz</t>
        </is>
      </c>
    </row>
    <row r="1530">
      <c r="A1530" s="6" t="inlineStr">
        <is>
          <t xml:space="preserve">   Egészség, szépség / Hajvágó, szakállvágó</t>
        </is>
      </c>
      <c r="B1530" s="6" t="inlineStr">
        <is>
          <t/>
        </is>
      </c>
      <c r="C1530" s="6" t="inlineStr">
        <is>
          <t/>
        </is>
      </c>
      <c r="D1530" s="6" t="inlineStr">
        <is>
          <t/>
        </is>
      </c>
      <c r="E1530" s="6" t="inlineStr">
        <is>
          <t/>
        </is>
      </c>
      <c r="F1530" s="6" t="inlineStr">
        <is>
          <t/>
        </is>
      </c>
      <c r="G1530" s="6" t="inlineStr">
        <is>
          <t/>
        </is>
      </c>
    </row>
    <row r="1531">
      <c r="A1531" s="3" t="inlineStr">
        <is>
          <t>HG TR 01</t>
        </is>
      </c>
      <c r="B1531" s="2" t="inlineStr">
        <is>
          <t>Home HG TR 01 orrszőrnyíró, fülszőr- és szemöldökvágó, mikro-vágórendszer, elemes</t>
        </is>
      </c>
      <c r="C1531" s="1" t="n">
        <v>2990.0</v>
      </c>
      <c r="D1531" s="7" t="n">
        <f>HYPERLINK("https://www.somogyi.hu/product/home-hg-tr-01-orrszornyiro-fulszor-es-szemoldokvago-mikro-vagorendszer-elemes-hg-tr-01-17621","https://www.somogyi.hu/product/home-hg-tr-01-orrszornyiro-fulszor-es-szemoldokvago-mikro-vagorendszer-elemes-hg-tr-01-17621")</f>
        <v>0.0</v>
      </c>
      <c r="E1531" s="7" t="n">
        <f>HYPERLINK("https://www.somogyi.hu/data/img/product_main_images/small/17621.jpg","https://www.somogyi.hu/data/img/product_main_images/small/17621.jpg")</f>
        <v>0.0</v>
      </c>
      <c r="F1531" s="2" t="inlineStr">
        <is>
          <t>5999084956431</t>
        </is>
      </c>
      <c r="G1531" s="4" t="inlineStr">
        <is>
          <t>A HG TR 01 Orrszőrnyíró segítségével pontosan és biztonságosan távolíthatja el a nem kívánt szőrszálakat. A 3 féle cserélhető fejjel orrszőrt, fülszőrt és szemöldököt is igazíthat. 
Kis méretéből adódóan utazások alkalmával is magával viheti. Használatot követően a tisztítókefével könnyen tisztán tartható. 
Tápellátása 1 db 1,5 V (AA) elemmel történik, melyet a csomag nem tartalmaz.</t>
        </is>
      </c>
    </row>
    <row r="1532">
      <c r="A1532" s="3" t="inlineStr">
        <is>
          <t>HG HS 12</t>
        </is>
      </c>
      <c r="B1532" s="2" t="inlineStr">
        <is>
          <t>Home HG HS 12 haj- és testszőrnyíró készlet, vezetékes és vezeték nélküli használat, 5 cserélhető fej, 7 műanyag fésű, Li-ion akkumulátor</t>
        </is>
      </c>
      <c r="C1532" s="1" t="n">
        <v>11590.0</v>
      </c>
      <c r="D1532" s="7" t="n">
        <f>HYPERLINK("https://www.somogyi.hu/product/home-hg-hs-12-haj-es-testszornyiro-keszlet-vezetekes-es-vezetek-nelkuli-hasznalat-5-cserelheto-fej-7-muanyag-fesu-li-ion-akkumulator-hg-hs-12-17620","https://www.somogyi.hu/product/home-hg-hs-12-haj-es-testszornyiro-keszlet-vezetekes-es-vezetek-nelkuli-hasznalat-5-cserelheto-fej-7-muanyag-fesu-li-ion-akkumulator-hg-hs-12-17620")</f>
        <v>0.0</v>
      </c>
      <c r="E1532" s="7" t="n">
        <f>HYPERLINK("https://www.somogyi.hu/data/img/product_main_images/small/17620.jpg","https://www.somogyi.hu/data/img/product_main_images/small/17620.jpg")</f>
        <v>0.0</v>
      </c>
      <c r="F1532" s="2" t="inlineStr">
        <is>
          <t>5999084956424</t>
        </is>
      </c>
      <c r="G1532" s="4" t="inlineStr">
        <is>
          <t>Ön szerint lehetséges egyetlen eszközzel a teljes testszőrzetet tökéletesre formázni? A Home HG HS 12 készlet ezt az álmot váltja valóra, amely a vezetékes és vezeték nélküli használat kombinációjával a legnagyobb rugalmasságot biztosítja.
Ez a kiváló minőségű készlet 5 cserélhető fejet kínál: egy széles, egy normál, és egy precíziós vágófejet, továbbá orrszőrnyírót és borotvát. Ezen kívül 7 különböző műanyag fésűt is talál a csomagban, melyekkel a haját 3, 6, 9, 12 mm-es hosszúságúra, illetve a szakállát 4, 6, 8 mm-es hosszúságúra nyírhatja.
A töltési állapotot jelző LED segítségével mindig tájékozott lehet az akkumulátor állapotáról. Az eszköz beépített Li-ion akkumulátorral rendelkezik, így 2 óra töltéssel 60 percig használhatja folyamatosan. A készlethez tartozó töltő és tárolóállvány, valamint a hálózati adapter további kényelmet biztosít a használat során.
A tökéletes formázásért és kényelemért válassza a Home HG HS 12 készletet! Teljen minden napja a tökéletes stílus jegyében!</t>
        </is>
      </c>
    </row>
    <row r="1533">
      <c r="A1533" s="6" t="inlineStr">
        <is>
          <t xml:space="preserve">   Egészség, szépség / Elektromos ágytakaró, lábmelegítő</t>
        </is>
      </c>
      <c r="B1533" s="6" t="inlineStr">
        <is>
          <t/>
        </is>
      </c>
      <c r="C1533" s="6" t="inlineStr">
        <is>
          <t/>
        </is>
      </c>
      <c r="D1533" s="6" t="inlineStr">
        <is>
          <t/>
        </is>
      </c>
      <c r="E1533" s="6" t="inlineStr">
        <is>
          <t/>
        </is>
      </c>
      <c r="F1533" s="6" t="inlineStr">
        <is>
          <t/>
        </is>
      </c>
      <c r="G1533" s="6" t="inlineStr">
        <is>
          <t/>
        </is>
      </c>
    </row>
    <row r="1534">
      <c r="A1534" s="3" t="inlineStr">
        <is>
          <t>THA-HND-0013-G</t>
        </is>
      </c>
      <c r="B1534" s="2" t="inlineStr">
        <is>
          <t>THAW THA-HND-0013-G újratölthető kézmelegítő, powerbank funkcióval, nagy, 10.000 mAh kapacitás, újratölthető, 3 üzemmód, max. 60 °C</t>
        </is>
      </c>
      <c r="C1534" s="1" t="n">
        <v>9990.0</v>
      </c>
      <c r="D1534" s="7" t="n">
        <f>HYPERLINK("https://www.somogyi.hu/product/thaw-tha-hnd-0013-g-ujratoltheto-kezmelegito-powerbank-funkcioval-nagy-10-000-mah-kapacitas-ujratoltheto-3-uzemmod-max-60-c-tha-hnd-0013-g-18009","https://www.somogyi.hu/product/thaw-tha-hnd-0013-g-ujratoltheto-kezmelegito-powerbank-funkcioval-nagy-10-000-mah-kapacitas-ujratoltheto-3-uzemmod-max-60-c-tha-hnd-0013-g-18009")</f>
        <v>0.0</v>
      </c>
      <c r="E1534" s="7" t="n">
        <f>HYPERLINK("https://www.somogyi.hu/data/img/product_main_images/small/18009.jpg","https://www.somogyi.hu/data/img/product_main_images/small/18009.jpg")</f>
        <v>0.0</v>
      </c>
      <c r="F1534" s="2" t="inlineStr">
        <is>
          <t>5060063229508</t>
        </is>
      </c>
      <c r="G1534" s="4" t="inlineStr">
        <is>
          <t xml:space="preserve"> • üzemmódok: 3 üzemmód: • Low: 46 °C, kb. 17 óra üzemidő • Medium: 53 °C, kb. 14 óra üzemidő • High: 60 °C, kb. 10 óra üzemidő 
 • funkciók: powerbank funkció 
 • akkumulátor kapacitás: 10.000 mAh 
 • csomagolási egység: 1 db 
 • tápellátás: beépített akkumulátor 
 • méret: 10,5 x 7 x 3 cm 
 • tartozék: tartozék USB C kábel 
 • tömeg: 220 g</t>
        </is>
      </c>
    </row>
    <row r="1535">
      <c r="A1535" s="3" t="inlineStr">
        <is>
          <t>THA-FOT-0003-G</t>
        </is>
      </c>
      <c r="B1535" s="2" t="inlineStr">
        <is>
          <t>THAW THA-FOT-0003-G egyszer használható talpmelegítő, 2db/csomag, felbontás után aktiválódik, 7 órán át meleg, 37 °C-ig melegszik, 30 csomag/display</t>
        </is>
      </c>
      <c r="C1535" s="1" t="n">
        <v>909.0</v>
      </c>
      <c r="D1535" s="7" t="n">
        <f>HYPERLINK("https://www.somogyi.hu/product/thaw-tha-fot-0003-g-egyszer-hasznalhato-talpmelegito-2db-csomag-felbontas-utan-aktivalodik-7-oran-at-meleg-37-c-ig-melegszik-30-csomag-display-tha-fot-0003-g-18007","https://www.somogyi.hu/product/thaw-tha-fot-0003-g-egyszer-hasznalhato-talpmelegito-2db-csomag-felbontas-utan-aktivalodik-7-oran-at-meleg-37-c-ig-melegszik-30-csomag-display-tha-fot-0003-g-18007")</f>
        <v>0.0</v>
      </c>
      <c r="E1535" s="7" t="n">
        <f>HYPERLINK("https://www.somogyi.hu/data/img/product_main_images/small/18007.jpg","https://www.somogyi.hu/data/img/product_main_images/small/18007.jpg")</f>
        <v>0.0</v>
      </c>
      <c r="F1535" s="2" t="inlineStr">
        <is>
          <t>5060063229461</t>
        </is>
      </c>
      <c r="G1535" s="4" t="inlineStr">
        <is>
          <t xml:space="preserve"> • funkciók: egyik fele öntapadós 
 • működés: felbontás után oxigénnel érintkezve aktiválódik 
 • hőmérséklet: kb. 37 °C-ig melegszik 
 • csomagolási egység: 2 db / csomag • 30 csomag / display • Kizárólag displayben rendelhető! 
 • egyéb információ: szagmentes, biztonságos, környezetbarát, egyszer használatos • kb. 7 órán át meleg</t>
        </is>
      </c>
    </row>
    <row r="1536">
      <c r="A1536" s="3" t="inlineStr">
        <is>
          <t>UP117D</t>
        </is>
      </c>
      <c r="B1536" s="2" t="inlineStr">
        <is>
          <t>Elektromos melegítő lepedő</t>
        </is>
      </c>
      <c r="C1536" s="1" t="n">
        <v>15990.0</v>
      </c>
      <c r="D1536" s="7" t="n">
        <f>HYPERLINK("https://www.somogyi.hu/product/elektromos-melegito-lepedo-up117d-18300","https://www.somogyi.hu/product/elektromos-melegito-lepedo-up117d-18300")</f>
        <v>0.0</v>
      </c>
      <c r="E1536" s="7" t="n">
        <f>HYPERLINK("https://www.somogyi.hu/data/img/product_main_images/small/18300.jpg","https://www.somogyi.hu/data/img/product_main_images/small/18300.jpg")</f>
        <v>0.0</v>
      </c>
      <c r="F1536" s="2" t="inlineStr">
        <is>
          <t>8436531911225</t>
        </is>
      </c>
      <c r="G1536" s="4" t="inlineStr">
        <is>
          <t xml:space="preserve"> • teljesítmény: max.60 W 
 • üzemmódok: 3 fűtési fokozat 
 • tápellátás: 220-240 V~ / 50 Hz 
 • méret: 170 x 90 cm 
 • anyaga: poliészter 
 • tulajdonság: leválasztható kontroller • gyorsan felmelegszik 
 • egyéb információ: kézzel vagy géppel mosható</t>
        </is>
      </c>
    </row>
    <row r="1537">
      <c r="A1537" s="3" t="inlineStr">
        <is>
          <t>F55</t>
        </is>
      </c>
      <c r="B1537" s="2" t="inlineStr">
        <is>
          <t>Elektromos lábmelegítő csizma</t>
        </is>
      </c>
      <c r="C1537" s="1" t="n">
        <v>17490.0</v>
      </c>
      <c r="D1537" s="7" t="n">
        <f>HYPERLINK("https://www.somogyi.hu/product/elektromos-labmelegito-csizma-f55-18302","https://www.somogyi.hu/product/elektromos-labmelegito-csizma-f55-18302")</f>
        <v>0.0</v>
      </c>
      <c r="E1537" s="7" t="n">
        <f>HYPERLINK("https://www.somogyi.hu/data/img/product_main_images/small/18302.jpg","https://www.somogyi.hu/data/img/product_main_images/small/18302.jpg")</f>
        <v>0.0</v>
      </c>
      <c r="F1537" s="2" t="inlineStr">
        <is>
          <t>8436531910556</t>
        </is>
      </c>
      <c r="G1537" s="4" t="inlineStr">
        <is>
          <t xml:space="preserve"> • teljesítmény: max.100 W 
 • üzemmódok: 3 fűtési fokozat 
 • tápellátás: 220-240 V~ / 50 Hz 
 • méret: 27 x 30 x 23 cm 
 • anyaga: poliészter 
 • tulajdonság: gyorsan felmelegszik 
 • egyéb információ: kivehető, kézzel vagy géppel mosható betét</t>
        </is>
      </c>
    </row>
    <row r="1538">
      <c r="A1538" s="3" t="inlineStr">
        <is>
          <t>THA-BOD-0015-G</t>
        </is>
      </c>
      <c r="B1538" s="2" t="inlineStr">
        <is>
          <t>THAW THA-BOD-0015-G fűthető ülőpárna powerbankkal, 10.000 mAh kapacitás, 3 üzemmód, újratölthető</t>
        </is>
      </c>
      <c r="C1538" s="1" t="n">
        <v>16790.0</v>
      </c>
      <c r="D1538" s="7" t="n">
        <f>HYPERLINK("https://www.somogyi.hu/product/thaw-tha-bod-0015-g-futheto-uloparna-powerbankkal-10-000-mah-kapacitas-3-uzemmod-ujratoltheto-tha-bod-0015-g-18010","https://www.somogyi.hu/product/thaw-tha-bod-0015-g-futheto-uloparna-powerbankkal-10-000-mah-kapacitas-3-uzemmod-ujratoltheto-tha-bod-0015-g-18010")</f>
        <v>0.0</v>
      </c>
      <c r="E1538" s="7" t="n">
        <f>HYPERLINK("https://www.somogyi.hu/data/img/product_main_images/small/18010.jpg","https://www.somogyi.hu/data/img/product_main_images/small/18010.jpg")</f>
        <v>0.0</v>
      </c>
      <c r="F1538" s="2" t="inlineStr">
        <is>
          <t>5060063229553</t>
        </is>
      </c>
      <c r="G1538" s="4" t="inlineStr">
        <is>
          <t xml:space="preserve"> • működés: 3 üzemmód: • Low: 43 °C • Medium: 52 °C • High: 58 °C 
 • tápellátás: tartozék újratölthető powerbank: 10.000 mAh 
 • méret: 38 x 38 x 5 cm • tömeg (powerbank nélkül): 360 g</t>
        </is>
      </c>
    </row>
    <row r="1539">
      <c r="A1539" s="3" t="inlineStr">
        <is>
          <t>THA-FOT-0004-G</t>
        </is>
      </c>
      <c r="B1539" s="2" t="inlineStr">
        <is>
          <t>THAW THA-FOT-0004-G egyszer használható lábujjmelegítő betét, 2db/csomag, felbontás után aktiválódik, 7 órán át meleg, 57 °C-ig melegszik, 40 csomag/display</t>
        </is>
      </c>
      <c r="C1539" s="1" t="n">
        <v>609.0</v>
      </c>
      <c r="D1539" s="7" t="n">
        <f>HYPERLINK("https://www.somogyi.hu/product/thaw-tha-fot-0004-g-egyszer-hasznalhato-labujjmelegito-betet-2db-csomag-felbontas-utan-aktivalodik-7-oran-at-meleg-57-c-ig-melegszik-40-csomag-display-tha-fot-0004-g-18006","https://www.somogyi.hu/product/thaw-tha-fot-0004-g-egyszer-hasznalhato-labujjmelegito-betet-2db-csomag-felbontas-utan-aktivalodik-7-oran-at-meleg-57-c-ig-melegszik-40-csomag-display-tha-fot-0004-g-18006")</f>
        <v>0.0</v>
      </c>
      <c r="E1539" s="7" t="n">
        <f>HYPERLINK("https://www.somogyi.hu/data/img/product_main_images/small/18006.jpg","https://www.somogyi.hu/data/img/product_main_images/small/18006.jpg")</f>
        <v>0.0</v>
      </c>
      <c r="F1539" s="2" t="inlineStr">
        <is>
          <t>5060063229492</t>
        </is>
      </c>
      <c r="G1539" s="4" t="inlineStr">
        <is>
          <t xml:space="preserve"> • funkciók: egyik fele öntapadós 
 • működés: felbontás után oxigénnel érintkezve aktiválódik 
 • hőmérséklet: kb. 57 °C-ig melegszik 
 • csomagolási egység: 2 db / csomag • 40 csomag / display • Kizárólag displayben rendelhető! 
 • egyéb információ: szagmentes, biztonságos, környezetbarát, egyszer használatos • kb. 7 órán át meleg</t>
        </is>
      </c>
    </row>
    <row r="1540">
      <c r="A1540" s="3" t="inlineStr">
        <is>
          <t>THA-HND-0007-G</t>
        </is>
      </c>
      <c r="B1540" s="2" t="inlineStr">
        <is>
          <t>THAW THA-HND-0007-G egyszer használható kézmelegítő párna, nagy, 1 db/csomag, felbontás után aktiválódik, 20 órán át meleg, 51 °C-ig melegszik, 40 csomag/display</t>
        </is>
      </c>
      <c r="C1540" s="1" t="n">
        <v>309.0</v>
      </c>
      <c r="D1540" s="7" t="n">
        <f>HYPERLINK("https://www.somogyi.hu/product/thaw-tha-hnd-0007-g-egyszer-hasznalhato-kezmelegito-parna-nagy-1-db-csomag-felbontas-utan-aktivalodik-20-oran-at-meleg-51-c-ig-melegszik-40-csomag-display-tha-hnd-0007-g-18005","https://www.somogyi.hu/product/thaw-tha-hnd-0007-g-egyszer-hasznalhato-kezmelegito-parna-nagy-1-db-csomag-felbontas-utan-aktivalodik-20-oran-at-meleg-51-c-ig-melegszik-40-csomag-display-tha-hnd-0007-g-18005")</f>
        <v>0.0</v>
      </c>
      <c r="E1540" s="7" t="n">
        <f>HYPERLINK("https://www.somogyi.hu/data/img/product_main_images/small/18005.jpg","https://www.somogyi.hu/data/img/product_main_images/small/18005.jpg")</f>
        <v>0.0</v>
      </c>
      <c r="F1540" s="2" t="inlineStr">
        <is>
          <t>5060063229454</t>
        </is>
      </c>
      <c r="G1540" s="4" t="inlineStr">
        <is>
          <t xml:space="preserve"> • működés: felbontás után oxigénnel érintkezve aktiválódik 
 • hőmérséklet: kb. 51 °C-ig melegszik 
 • csomagolási egység: 1 db / csomag • 40 csomag / display • Kizárólag displayben rendelhető! 
 • egyéb információ: szagmentes, biztonságos, környezetbarát, egyszer használatos • kb. 20 órán át meleg</t>
        </is>
      </c>
    </row>
    <row r="1541">
      <c r="A1541" s="6" t="inlineStr">
        <is>
          <t xml:space="preserve">   Hangtechnika / Autórádió és multimédia lejátszó</t>
        </is>
      </c>
      <c r="B1541" s="6" t="inlineStr">
        <is>
          <t/>
        </is>
      </c>
      <c r="C1541" s="6" t="inlineStr">
        <is>
          <t/>
        </is>
      </c>
      <c r="D1541" s="6" t="inlineStr">
        <is>
          <t/>
        </is>
      </c>
      <c r="E1541" s="6" t="inlineStr">
        <is>
          <t/>
        </is>
      </c>
      <c r="F1541" s="6" t="inlineStr">
        <is>
          <t/>
        </is>
      </c>
      <c r="G1541" s="6" t="inlineStr">
        <is>
          <t/>
        </is>
      </c>
    </row>
    <row r="1542">
      <c r="A1542" s="3" t="inlineStr">
        <is>
          <t>VBT 1100/BL</t>
        </is>
      </c>
      <c r="B1542" s="2" t="inlineStr">
        <is>
          <t>SAL VBT 1100/BL autórádió, 4 x 45 W, 4 RCA, FM, BT, USB, SD, AUX, kék LED kijelző és gombok</t>
        </is>
      </c>
      <c r="C1542" s="1" t="n">
        <v>12090.0</v>
      </c>
      <c r="D1542" s="7" t="n">
        <f>HYPERLINK("https://www.somogyi.hu/product/sal-vbt-1100-bl-autoradio-4-x-45-w-4-rca-fm-bt-usb-sd-aux-kek-led-kijelzo-es-gombok-vbt-1100-bl-17518","https://www.somogyi.hu/product/sal-vbt-1100-bl-autoradio-4-x-45-w-4-rca-fm-bt-usb-sd-aux-kek-led-kijelzo-es-gombok-vbt-1100-bl-17518")</f>
        <v>0.0</v>
      </c>
      <c r="E1542" s="7" t="n">
        <f>HYPERLINK("https://www.somogyi.hu/data/img/product_main_images/small/17518.jpg","https://www.somogyi.hu/data/img/product_main_images/small/17518.jpg")</f>
        <v>0.0</v>
      </c>
      <c r="F1542" s="2" t="inlineStr">
        <is>
          <t>5999084955403</t>
        </is>
      </c>
      <c r="G1542" s="4" t="inlineStr">
        <is>
          <t>Fedezd fel a VBT 1100/BL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1100/BL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Kék LED kijelző és gombvilágítás egyedi megjelenést kölcsönöz a terméknek. A távirányítót tartozékként szállítjuk.</t>
        </is>
      </c>
    </row>
    <row r="1543">
      <c r="A1543" s="3" t="inlineStr">
        <is>
          <t>VB X800i</t>
        </is>
      </c>
      <c r="B1543" s="2" t="inlineStr">
        <is>
          <t>Autórádió és multimédia-lejátszó</t>
        </is>
      </c>
      <c r="C1543" s="1" t="n">
        <v>60990.0</v>
      </c>
      <c r="D1543" s="7" t="n">
        <f>HYPERLINK("https://www.somogyi.hu/product/autoradio-es-multimedia-lejatszo-vb-x800i-16591","https://www.somogyi.hu/product/autoradio-es-multimedia-lejatszo-vb-x800i-16591")</f>
        <v>0.0</v>
      </c>
      <c r="E1543" s="7" t="n">
        <f>HYPERLINK("https://www.somogyi.hu/data/img/product_main_images/small/16591.jpg","https://www.somogyi.hu/data/img/product_main_images/small/16591.jpg")</f>
        <v>0.0</v>
      </c>
      <c r="F1543" s="2" t="inlineStr">
        <is>
          <t>5999084946234</t>
        </is>
      </c>
      <c r="G1543" s="4" t="inlineStr">
        <is>
          <t>A VB X800i Autórádió és multimédia lejátszó rendkívül sokoldalú használatot biztosít. Minden olyan autótulajdonos álma, akinek nincs gyári monitor a gépjárműjében, de szeretné komfortosabbá tenni a mindennapokat és az utazásokat. 
Az extra nagy 7,0” (18 cm) motoros mozgatású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BT kapcsolattal rendelkezik, de csatlakoztathat hozzá USB meghajtót, vagy microSD kártyát.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a beépített vagy csiptetős külső mikrofon által jól hallható lesz. 
Egyedi hangzásbeállításokat, 10 sávos grafikus hangszínszabályozásokat végezhet a készüléken.
A menüt 5 nyelv közül választhatja ki  (HU, EN, SK, RO, SRB). 
Az autórádió 4 x 50 W Hi-Fi hangszóró kimenettel, 3,5 mm AUX bemenettel, 2 + 1 x RCA erősítő + aktív mélysugárzó kimenettel, 2 + 1 RCA video bemenettel és 2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44">
      <c r="A1544" s="3" t="inlineStr">
        <is>
          <t>VB X900</t>
        </is>
      </c>
      <c r="B1544" s="2" t="inlineStr">
        <is>
          <t>Autórádió és multimédia-lejátszó</t>
        </is>
      </c>
      <c r="C1544" s="1" t="n">
        <v>48290.0</v>
      </c>
      <c r="D1544" s="7" t="n">
        <f>HYPERLINK("https://www.somogyi.hu/product/autoradio-es-multimedia-lejatszo-vb-x900-16731","https://www.somogyi.hu/product/autoradio-es-multimedia-lejatszo-vb-x900-16731")</f>
        <v>0.0</v>
      </c>
      <c r="E1544" s="7" t="n">
        <f>HYPERLINK("https://www.somogyi.hu/data/img/product_main_images/small/16731.jpg","https://www.somogyi.hu/data/img/product_main_images/small/16731.jpg")</f>
        <v>0.0</v>
      </c>
      <c r="F1544" s="2" t="inlineStr">
        <is>
          <t>5999084947637</t>
        </is>
      </c>
      <c r="G1544" s="4" t="inlineStr">
        <is>
          <t>A VB X 900 Autórádió és multimédia- lejátszó rendkívül sokoldalú használatot biztosít. Minden olyan autótulajdonos álma, akinek nincs gyári monitor a gépjárműjében, de szeretné komfortosabbá tenni a mindennapokat és az utazásokat. 
Az extra nagy 7,0” (18 cm) fix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használható akár a hátsó monitorként is, így a hátul utazók filmet, videót tudnak nézni.
Az autórádió vezeték nélküli BT kapcsolattal csatlakoztatható a készülékekhez, vagy USB/ microSD eszköz is csatlakoztatható hozzá.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valamint a beépített és csiptetős külső mikrofon által jól hallható lesz. 
Egyedi hangzásbeállításokat, 10 sávos grafikus hangszínszabályozásokat végezhet a készüléken.
A menüt 5 nyelv közül választhatja ki ( HU, EN, SK, RO, SRB). 
Az autórádió 4 x 50 W Hi-Fi hangszóró kimenettel, 3,5 mm AUX bemenettel, 2 + 1 x RCA video bemenettel és 1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45">
      <c r="A1545" s="3" t="inlineStr">
        <is>
          <t>VB 2300</t>
        </is>
      </c>
      <c r="B1545" s="2" t="inlineStr">
        <is>
          <t>SAL VB 2300 smart autórádió, 4 x 45 W, 4 RCA, FM, BT, USB, MicroSD, AUX, Android/iOS App</t>
        </is>
      </c>
      <c r="C1545" s="1" t="n">
        <v>10690.0</v>
      </c>
      <c r="D1545" s="7" t="n">
        <f>HYPERLINK("https://www.somogyi.hu/product/sal-vb-2300-smart-autoradio-4-x-45-w-4-rca-fm-bt-usb-microsd-aux-android-ios-app-vb-2300-18060","https://www.somogyi.hu/product/sal-vb-2300-smart-autoradio-4-x-45-w-4-rca-fm-bt-usb-microsd-aux-android-ios-app-vb-2300-18060")</f>
        <v>0.0</v>
      </c>
      <c r="E1545" s="7" t="n">
        <f>HYPERLINK("https://www.somogyi.hu/data/img/product_main_images/small/18060.jpg","https://www.somogyi.hu/data/img/product_main_images/small/18060.jpg")</f>
        <v>0.0</v>
      </c>
      <c r="F1545" s="2" t="inlineStr">
        <is>
          <t>5999084960827</t>
        </is>
      </c>
      <c r="G1545" s="4" t="inlineStr">
        <is>
          <t xml:space="preserve"> • kimenőteljesítmény: 4 x 45 W 
 • óra: van 
 • vezeték nélküli BT kapcsolat: v5.0 / 10 m • Bluetooth 2.402-2.480 GHz ERP ≤2.5 mW 
 • műsorszám-információk: igen 
 • rádióvételi sáv: 87,5-107,9 MHz 
 • tárolható rádióadó: 18 db FM 
 • könyvtárkezelés/léptetés: igen 
 • csatlakoztatható eszköz: USB / microSD / AUX 
 • audiokompatibilitás: MP3, WMA, FLAC, APE, WAV 
 • AUX bemenet: Ø3,5 mm jack 
 • erősítő/szubládakimenet: 4 x RCA 
 • ISO csatlakozó: igen 
 • tartozék: távirányító (CR2025, 3 V gombelem, tartozék) 
 • jellemzők: a telefon a rádió kiterjesztett kijelzője lesz • okostelefon nélkül is teljes értékű rádió • telefonálás a telefon érintése nélkül • csengőhang és beszélgetés az autó hangszóróin keresztül • hívószám megjelenítése a kijelzőn hívás elutasítása / -fogadása / -befejezése / utolsó szám hívása • kiválóan olvasható fehér, szöveges kijelző • a pontos idő kijelzése gombnyomásra • különálló USB aljzat töltéshez 
 • méret: 178 x 50 x 128 mm 
 • tömeg: 350 g 
 • egyéb információ: telepítendő alkalmazással bővíthető funkciók: Android 4.3 és iOS 8.0 vagy újabb telefonokhoz, vezeték nélkül csatlakoztatva, egy angol nyelvű alkalmazás telepítését követően (az elérhető szolgáltatások telefontól, beállításoktól 
 • és régiótól függhetnek)</t>
        </is>
      </c>
    </row>
    <row r="1546">
      <c r="A1546" s="3" t="inlineStr">
        <is>
          <t>VBT 1100/RD</t>
        </is>
      </c>
      <c r="B1546" s="2" t="inlineStr">
        <is>
          <t>SAL VBT 1100/RD autórádió, 4 x 45 W, 4 RCA, FM, BT, USB, SD, AUX, piros LED kijelző és gombok</t>
        </is>
      </c>
      <c r="C1546" s="1" t="n">
        <v>12090.0</v>
      </c>
      <c r="D1546" s="7" t="n">
        <f>HYPERLINK("https://www.somogyi.hu/product/sal-vbt-1100-rd-autoradio-4-x-45-w-4-rca-fm-bt-usb-sd-aux-piros-led-kijelzo-es-gombok-vbt-1100-rd-17519","https://www.somogyi.hu/product/sal-vbt-1100-rd-autoradio-4-x-45-w-4-rca-fm-bt-usb-sd-aux-piros-led-kijelzo-es-gombok-vbt-1100-rd-17519")</f>
        <v>0.0</v>
      </c>
      <c r="E1546" s="7" t="n">
        <f>HYPERLINK("https://www.somogyi.hu/data/img/product_main_images/small/17519.jpg","https://www.somogyi.hu/data/img/product_main_images/small/17519.jpg")</f>
        <v>0.0</v>
      </c>
      <c r="F1546" s="2" t="inlineStr">
        <is>
          <t>5999084955410</t>
        </is>
      </c>
      <c r="G1546" s="4" t="inlineStr">
        <is>
          <t>Fedezd fel a VBT 1100/RD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1100/RD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Piros LED kijelző és gombvilágítás egyedi megjelenést kölcsönöz a terméknek. A távirányítót tartozékként szállítjuk.</t>
        </is>
      </c>
    </row>
    <row r="1547">
      <c r="A1547" s="3" t="inlineStr">
        <is>
          <t>VB X1000</t>
        </is>
      </c>
      <c r="B1547" s="2" t="inlineStr">
        <is>
          <t>SAL VB X1000 autórádió és multimédiás lejátszó, 4 x 45 W, 2 + 1 RCA, CarPlay, Android Auto, USB Mirror Link</t>
        </is>
      </c>
      <c r="C1547" s="1" t="n">
        <v>83890.0</v>
      </c>
      <c r="D1547" s="7" t="n">
        <f>HYPERLINK("https://www.somogyi.hu/product/sal-vb-x1000-autoradio-es-multimedias-lejatszo-4-x-45-w-2-1-rca-carplay-android-auto-usb-mirror-link-vb-x1000-18277","https://www.somogyi.hu/product/sal-vb-x1000-autoradio-es-multimedias-lejatszo-4-x-45-w-2-1-rca-carplay-android-auto-usb-mirror-link-vb-x1000-18277")</f>
        <v>0.0</v>
      </c>
      <c r="E1547" s="7" t="n">
        <f>HYPERLINK("https://www.somogyi.hu/data/img/product_main_images/small/18277.jpg","https://www.somogyi.hu/data/img/product_main_images/small/18277.jpg")</f>
        <v>0.0</v>
      </c>
      <c r="F1547" s="2" t="inlineStr">
        <is>
          <t>5999084962999</t>
        </is>
      </c>
      <c r="G1547" s="4" t="inlineStr">
        <is>
          <t>Egy olyan autórádiót keres, ami minden utazást szórakoztatóbbá tesz? A SAL VB X1000 autórádió és multimédiás lejátszó tökéletes választás, modern funkciókkal és könnyű kezelhetőséggel.
Ez a készülék 9,0”-os (23 cm) mozgatható érintőképernyővel rendelkezik, ami intuitív vezérlést biztosít. A kompakt 1xDIN méretű készülékház ideálisan illeszkedik az autó műszerfalába. Többféle média lejátszását teszi lehetővé: rádió, zene, fotó és videó. A 30 tárhelyes AM/FM RDS rádióval kedvenc állomásai mindig elérhetőek lesznek.
A készülék USB és microSD csatlakozási lehetőségekkel bír, így könnyedén élvezheti digitális tartalmait. A beépített Bluetooth funkciónak köszönhetően telefonhívásait biztonságosan, a mobiltelefon érintése nélkül kezelheti. Az integrált telefonkönyv és híváslista megjelenítés biztosítja, hogy mindig kapcsolatban maradjon.
A biztonságos vezetést a tolatókamera funkció segíti elő. Az USB telefontöltő funkció gondoskodik eszközei állandó töltöttségéről. A beépített és csíptetős külső mikrofon tiszta hangminőséget biztosít.
A hangélmény a 16 sávos grafikus hangszínszabályozóval személyre szabható. A változtatható színű gomb háttérvilágítás és a hátsó monitor lehetősége extra kényelmet biztosít. A kormányról vezérelhető funkciók növelik a biztonságos vezetést.
A 6 nyelvű menü, a 4x45W Hi-Fi hangszórókimenet, a 3,5mm AUX audio bemenet és a több RCA kimenet további rugalmasságot ad. A csomag tartalmaz tolató kamerát, külső mikrofont és ISO csatlakozót.
Fejlessze autója multimédiás képességeit a SAL VB X1000 autórádióval és multimédiás lejátszóval, a modern technológia és a kényelem zökkenőmentes kombinációjával!</t>
        </is>
      </c>
    </row>
    <row r="1548">
      <c r="A1548" s="3" t="inlineStr">
        <is>
          <t>VB 4000</t>
        </is>
      </c>
      <c r="B1548" s="2" t="inlineStr">
        <is>
          <t>SAL VB 4000 autórádió és multimédiás lejátszó, 4 x 45 W, 4 x RCA aljzat, BT, FM RDS, MP3, WMA, USB, SD, AUX</t>
        </is>
      </c>
      <c r="C1548" s="1" t="n">
        <v>20190.0</v>
      </c>
      <c r="D1548" s="7" t="n">
        <f>HYPERLINK("https://www.somogyi.hu/product/sal-vb-4000-autoradio-es-multimedias-lejatszo-4-x-45-w-4-x-rca-aljzat-bt-fm-rds-mp3-wma-usb-sd-aux-vb-4000-16287","https://www.somogyi.hu/product/sal-vb-4000-autoradio-es-multimedias-lejatszo-4-x-45-w-4-x-rca-aljzat-bt-fm-rds-mp3-wma-usb-sd-aux-vb-4000-16287")</f>
        <v>0.0</v>
      </c>
      <c r="E1548" s="7" t="n">
        <f>HYPERLINK("https://www.somogyi.hu/data/img/product_main_images/small/16287.jpg","https://www.somogyi.hu/data/img/product_main_images/small/16287.jpg")</f>
        <v>0.0</v>
      </c>
      <c r="F1548" s="2" t="inlineStr">
        <is>
          <t>5999084943196</t>
        </is>
      </c>
      <c r="G1548" s="4" t="inlineStr">
        <is>
          <t>Fedezze fel a zene és kommunikáció új dimenzióját az autójában a SAL VB 4000 autórádió és multimédiás lejátszóval! Ez a multifunkcionális készülék nem csupán szórakoztat, hanem lehetővé teszi a zökkenőmentes kommunikációt is, miközben a keze végig a volánon maradhat.
A SAL VB 4000 segítségével vezeték nélküli Bluetooth kapcsolaton keresztül streamelhet zenét közvetlenül a mobiltelefonjáról, irányíthatja annak zenelejátszóját, és telefonálhat anélkül, hogy meg kellene érintenie a készülékét. A beépített és a csíptetős külső mikrofon tiszta hangzást biztosít a telefonbeszélgetések során. A hívások autóhangszórókon keresztüli kihangosítása, a hívószám kijelzése, valamint a híváskezelés funkciók mind-mind hozzájárulnak a biztonságos és kényelmes vezetéshez.
Az autórádió 18 FM memóriahellyel, valamint számos kényelmi funkcióval rendelkezik, mint például kézi és automatikus állomáskeresés, MP3 iD3 Tag szöveges információk megjelenítése, és személyre szabható hangzásbeállítások. A 4 x 45W Hi-Fi hangszórókimenet, 3,5mm-es AUX bemenet és 4 RCA aljzat biztosítja, hogy a zenehallgatás élménye minden igényt kielégítsen.
Az autórádió távirányítóval is vezérelhető, amely még több kényelmet nyújt vezetés közben. Legyen szó hosszú utazásokról, vagy csak a mindennapi ingázásról, a SAL VB 4000 autórádió és multimédiás lejátszó minden utat élvezetessé tesz. Változtassa autóját egy modern szórakoztató központtá a SAL VB 4000-el!</t>
        </is>
      </c>
    </row>
    <row r="1549">
      <c r="A1549" s="6" t="inlineStr">
        <is>
          <t xml:space="preserve">   Hangtechnika / Autós erősítő</t>
        </is>
      </c>
      <c r="B1549" s="6" t="inlineStr">
        <is>
          <t/>
        </is>
      </c>
      <c r="C1549" s="6" t="inlineStr">
        <is>
          <t/>
        </is>
      </c>
      <c r="D1549" s="6" t="inlineStr">
        <is>
          <t/>
        </is>
      </c>
      <c r="E1549" s="6" t="inlineStr">
        <is>
          <t/>
        </is>
      </c>
      <c r="F1549" s="6" t="inlineStr">
        <is>
          <t/>
        </is>
      </c>
      <c r="G1549" s="6" t="inlineStr">
        <is>
          <t/>
        </is>
      </c>
    </row>
    <row r="1550">
      <c r="A1550" s="3" t="inlineStr">
        <is>
          <t>SBF 2025</t>
        </is>
      </c>
      <c r="B1550" s="2" t="inlineStr">
        <is>
          <t>Univerzális autós erősítő, 2 csat., 4ohm, 50W</t>
        </is>
      </c>
      <c r="C1550" s="1" t="n">
        <v>12190.0</v>
      </c>
      <c r="D1550" s="7" t="n">
        <f>HYPERLINK("https://www.somogyi.hu/product/univerzalis-autos-erosito-2-csat-4ohm-50w-sbf-2025-4741","https://www.somogyi.hu/product/univerzalis-autos-erosito-2-csat-4ohm-50w-sbf-2025-4741")</f>
        <v>0.0</v>
      </c>
      <c r="E1550" s="7" t="n">
        <f>HYPERLINK("https://www.somogyi.hu/data/img/product_main_images/small/04741.jpg","https://www.somogyi.hu/data/img/product_main_images/small/04741.jpg")</f>
        <v>0.0</v>
      </c>
      <c r="F1550" s="2" t="inlineStr">
        <is>
          <t>5998312741856</t>
        </is>
      </c>
      <c r="G1550" s="4" t="inlineStr">
        <is>
          <t>Mindene a zenehallgatás? Ne feledkezzen meg arról, hogy vezetés közben is a legjobb minőségben hallgassa kedvenc slágereit!
Az SBF 2025 egy univerzális autós erősítő 3 féle hangváltó üzemmóddal: mély, mélyközép + magas és szélessávú hangszórókhoz, továbbá hangerő szabályozóval és integrált áramkörös végerősítővel. A készülék magas és alacsony szintű vonalbemenet, visszajelző LED, aranyozott csatlakozóaljzatokkal rendelkezik. A tartozéka háromféle csatlakozókábel. Felhasználhatósága: 50 W (2 x 25 W) 2 x 4 Ohm. Válassza a minőségi termékeket és rendeljen webáruházunkból.</t>
        </is>
      </c>
    </row>
    <row r="1551">
      <c r="A1551" s="6" t="inlineStr">
        <is>
          <t xml:space="preserve">   Hangtechnika / FM modulátor, Vezeték nélküli BT kapcsolat</t>
        </is>
      </c>
      <c r="B1551" s="6" t="inlineStr">
        <is>
          <t/>
        </is>
      </c>
      <c r="C1551" s="6" t="inlineStr">
        <is>
          <t/>
        </is>
      </c>
      <c r="D1551" s="6" t="inlineStr">
        <is>
          <t/>
        </is>
      </c>
      <c r="E1551" s="6" t="inlineStr">
        <is>
          <t/>
        </is>
      </c>
      <c r="F1551" s="6" t="inlineStr">
        <is>
          <t/>
        </is>
      </c>
      <c r="G1551" s="6" t="inlineStr">
        <is>
          <t/>
        </is>
      </c>
    </row>
    <row r="1552">
      <c r="A1552" s="3" t="inlineStr">
        <is>
          <t>FMBT MIC</t>
        </is>
      </c>
      <c r="B1552" s="2" t="inlineStr">
        <is>
          <t>SAL FMBT MIC autós kihangosító és töltő, beépített vezetékes mikrofon, feszültségmérő, Siri, Google Assistant, dupla USB gyorstöltő</t>
        </is>
      </c>
      <c r="C1552" s="1" t="n">
        <v>10890.0</v>
      </c>
      <c r="D1552" s="7" t="n">
        <f>HYPERLINK("https://www.somogyi.hu/product/sal-fmbt-mic-autos-kihangosito-es-tolto-beepitett-vezetekes-mikrofon-feszultsegmero-siri-google-assistant-dupla-usb-gyorstolto-fmbt-mic-17281","https://www.somogyi.hu/product/sal-fmbt-mic-autos-kihangosito-es-tolto-beepitett-vezetekes-mikrofon-feszultsegmero-siri-google-assistant-dupla-usb-gyorstolto-fmbt-mic-17281")</f>
        <v>0.0</v>
      </c>
      <c r="E1552" s="7" t="n">
        <f>HYPERLINK("https://www.somogyi.hu/data/img/product_main_images/small/17281.jpg","https://www.somogyi.hu/data/img/product_main_images/small/17281.jpg")</f>
        <v>0.0</v>
      </c>
      <c r="F1552" s="2" t="inlineStr">
        <is>
          <t>5999084953034</t>
        </is>
      </c>
      <c r="G1552" s="4" t="inlineStr">
        <is>
          <t>Az FMBT MIC Autós kihangosító és töltő segítségével kihangosítva biztonságosan telefonálhat, hallgathatja a zenét és még a telefonját is töltheti. Korszerűsítse autóját ezzel a készülékkel, így a mindennapokat megkönnyítve utazhat.
Az autós kihangosító számos előnyös tulajdonsággal ellátott. Könnyen fogadhatja vagy bonthatja a hívásokat és újrahívásokat kezdeményezhet a telefon érintése nélkül. A műszerfalra helyezhető professzionális mikrofonnal még tisztább és jól érthető lesz a hang minősége. Zenehallhatás közben a zenelejátszót távolról vezérelheti. A készülék segítségével mérheti a jármű akkumulátorának feszültségét, valamint ellenőrizheti az autó akkumulátor állapotát. További extrák a hangasszisztens aktiválás (Siri/ Google Assistant), hívószám hangbemondás (angol).
Az autós kihangosító dupla USB telefon gyorstöltővel ellátott, amely 2,4 A + 1,0 A. 
12/24 V járművekbe alkalmazható.</t>
        </is>
      </c>
    </row>
    <row r="1553">
      <c r="A1553" s="3" t="inlineStr">
        <is>
          <t>BTRC 30</t>
        </is>
      </c>
      <c r="B1553" s="2" t="inlineStr">
        <is>
          <t xml:space="preserve">SAL BTRC 30 vezeték nélküli BT adapter, adó és vevő, AUX I/O, </t>
        </is>
      </c>
      <c r="C1553" s="1" t="n">
        <v>3290.0</v>
      </c>
      <c r="D1553" s="7" t="n">
        <f>HYPERLINK("https://www.somogyi.hu/product/sal-btrc-30-vezetek-nelkuli-bt-adapter-ado-es-vevo-aux-i-o-btrc-30-17095","https://www.somogyi.hu/product/sal-btrc-30-vezetek-nelkuli-bt-adapter-ado-es-vevo-aux-i-o-btrc-30-17095")</f>
        <v>0.0</v>
      </c>
      <c r="E1553" s="7" t="n">
        <f>HYPERLINK("https://www.somogyi.hu/data/img/product_main_images/small/17095.jpg","https://www.somogyi.hu/data/img/product_main_images/small/17095.jpg")</f>
        <v>0.0</v>
      </c>
      <c r="F1553" s="2" t="inlineStr">
        <is>
          <t>5999084951276</t>
        </is>
      </c>
      <c r="G1553" s="4" t="inlineStr">
        <is>
          <t>A BTRC 30 Vezeték nélküli BT adapter kis mérete által bárhová magával viheti. Átkapcsolható BT vevőre vagy BT adóra. Az audio bemenet és kimenet Ø 3,5mm sztereó aljzat. Tápellátás USB 5 V.
BT adó: TV, számítógép, multimédia lejátszó, HiFi berendezés
BT vevő: autórádió, fejhallgató, HiFi berendezés, erősítő, aktív hangdoboz
Tartozéka 1 db 1 m hosszú 3,5 mm audio kábel.</t>
        </is>
      </c>
    </row>
    <row r="1554">
      <c r="A1554" s="3" t="inlineStr">
        <is>
          <t>FMBT 18RGB</t>
        </is>
      </c>
      <c r="B1554" s="2" t="inlineStr">
        <is>
          <t>SAL FMBT 18RGB autós kihangosító és töltő, 5 in 1, FM modulátor, dupla USB gyorstöltő, feszültségmérő, basszus-kiemelés gomb</t>
        </is>
      </c>
      <c r="C1554" s="1" t="n">
        <v>10390.0</v>
      </c>
      <c r="D1554" s="7" t="n">
        <f>HYPERLINK("https://www.somogyi.hu/product/sal-fmbt-18rgb-autos-kihangosito-es-tolto-5-in-1-fm-modulator-dupla-usb-gyorstolto-feszultsegmero-basszus-kiemeles-gomb-fmbt-18rgb-18106","https://www.somogyi.hu/product/sal-fmbt-18rgb-autos-kihangosito-es-tolto-5-in-1-fm-modulator-dupla-usb-gyorstolto-feszultsegmero-basszus-kiemeles-gomb-fmbt-18rgb-18106")</f>
        <v>0.0</v>
      </c>
      <c r="E1554" s="7" t="n">
        <f>HYPERLINK("https://www.somogyi.hu/data/img/product_main_images/small/18106.jpg","https://www.somogyi.hu/data/img/product_main_images/small/18106.jpg")</f>
        <v>0.0</v>
      </c>
      <c r="F1554" s="2" t="inlineStr">
        <is>
          <t>5999084961282</t>
        </is>
      </c>
      <c r="G1554" s="4" t="inlineStr">
        <is>
          <t xml:space="preserve"> • működési frekvencia: 87,6 - 107,9 MHz 
 • USB töltőaljzat: dupla USB gyorstöltő: 2,4A + QC3.0 
 • csatlakoztatható eszköz: USB / microSD (FAT32, max. 32 GB) 
 • audio kompatibilitás: MP3 / WMA / WAV / FLAC 
 • telefon-kihangosító: igen 
 • beépített mikrofon: van 
 • hívásfunkciók: hívásfogadás, elutasítás, hívószám tárcsázása • hívószám hangbemondása (angol) 
 • zenelejátszó funkciók: műsorszámok léptetése, zenelejátszó távvezérlése 
 • automatikus csatlakozás: igen 
 • funkciók: 5in1: BT kihangosító   FM modulátor   dupla USB gyorstöltő   zenelejátszó   akkumulátor Voltmérő 
 • tápellátás: 12/24 V DC 
 • BT: Bluetooth 2.402-2.480 GHz ERP ≤2.5 mW (v5.1, 10 m max.) 
 • mikrofon: van 
 • jellemzők: beépített akkumulátor-feszültség mérő • RGB fényeffektek (kikapcsolható) • kényelmes kezelés forgatógombbal 
 • egyéb: hangasszisztens aktiválása (Siri/Google/Bixby)</t>
        </is>
      </c>
    </row>
    <row r="1555">
      <c r="A1555" s="3" t="inlineStr">
        <is>
          <t>FMBT 280</t>
        </is>
      </c>
      <c r="B1555" s="2" t="inlineStr">
        <is>
          <t>SAL FMBT 280 autós kihangosító és töltő, beépített mikrofon, EQ, távirányító, automatikus csatlakozás</t>
        </is>
      </c>
      <c r="C1555" s="1" t="n">
        <v>5990.0</v>
      </c>
      <c r="D1555" s="7" t="n">
        <f>HYPERLINK("https://www.somogyi.hu/product/sal-fmbt-280-autos-kihangosito-es-tolto-beepitett-mikrofon-eq-taviranyito-automatikus-csatlakozas-fmbt-280-17986","https://www.somogyi.hu/product/sal-fmbt-280-autos-kihangosito-es-tolto-beepitett-mikrofon-eq-taviranyito-automatikus-csatlakozas-fmbt-280-17986")</f>
        <v>0.0</v>
      </c>
      <c r="E1555" s="7" t="n">
        <f>HYPERLINK("https://www.somogyi.hu/data/img/product_main_images/small/17986.jpg","https://www.somogyi.hu/data/img/product_main_images/small/17986.jpg")</f>
        <v>0.0</v>
      </c>
      <c r="F1555" s="2" t="inlineStr">
        <is>
          <t>5999084960087</t>
        </is>
      </c>
      <c r="G1555" s="4" t="inlineStr">
        <is>
          <t>Egy univerzális kiegészítőt keres, ami egyszerre tölt, kihangosít és zenét is lejátszik az autóban? A SAL FMBT 280 minden igényt kielégít, legyen szó telefonhívások kezeléséről, kedvenc zenéi hallgatásáról vagy eszközei töltéséről utazás közben.
Ez az autós kihangosító és töltő Bluetooth kapcsolaton keresztül biztosítja a telefon-kihangosítást és a zenelejátszást, támogatva az MP3/WMA formátumokat USB vagy microSD adattárolókról, amelyek akár 32GB méretűek is lehetnek. A 5V/1A kimeneti töltőport gondoskodik eszközei energiaellátásáról, miközben a beépített mikrofon és a kényelmes távirányítóval ellátott, billenthető kezelőfelület lehetővé teszi a hívások kezelését anélkül, hogy megérintené a telefont.
A kijelzőn könnyedén nyomon követheti a frekvenciát, a dal sorszámát, az eltelt időt, a hangerőt és a Bluetooth módját. Az EQ hangzásbeállításokkal személyre szabhatja az audio élményt, míg a hangbemondás a zökkenőmentes üzemmódváltásokhoz nyújt segítséget. A kezelőfelület praktikus kialakítása és a tartozék távirányító biztosítja, hogy minden funkció könnyen és biztonságosan elérhető legyen vezetés közben is.
Induljon útnak a SAL FMBT 280 autós kihangosítóval és töltővel, és élvezze a zavartalan kommunikációt és a minőségi zenei élményt, miközben eszközei folyamatosan töltődnek. Ne hagyjon ki egyetlen hívást vagy kedvenc számot sem, válassza ezt a praktikus és multifunkcionális megoldást vezetéshez!</t>
        </is>
      </c>
    </row>
    <row r="1556">
      <c r="A1556" s="3" t="inlineStr">
        <is>
          <t>FMT 104</t>
        </is>
      </c>
      <c r="B1556" s="2" t="inlineStr">
        <is>
          <t>SAL FMBT 104 FM modulátor és töltő, AUX, EQ</t>
        </is>
      </c>
      <c r="C1556" s="1" t="n">
        <v>2590.0</v>
      </c>
      <c r="D1556" s="7" t="n">
        <f>HYPERLINK("https://www.somogyi.hu/product/sal-fmbt-104-fm-modulator-es-tolto-aux-eq-fmt-104-16907","https://www.somogyi.hu/product/sal-fmbt-104-fm-modulator-es-tolto-aux-eq-fmt-104-16907")</f>
        <v>0.0</v>
      </c>
      <c r="E1556" s="7" t="n">
        <f>HYPERLINK("https://www.somogyi.hu/data/img/product_main_images/small/16907.jpg","https://www.somogyi.hu/data/img/product_main_images/small/16907.jpg")</f>
        <v>0.0</v>
      </c>
      <c r="F1556" s="2" t="inlineStr">
        <is>
          <t>5999084949396</t>
        </is>
      </c>
      <c r="G1556" s="4" t="inlineStr">
        <is>
          <t xml:space="preserve"> • működési frekvencia: 88,1 - 107,9 MHz 
 • kijelző: LCD 
 • USB töltőaljzat: max. 0,5 A 
 • csatlakoztatható eszköz: USB / microSD (max. 16 GB / FAT 32) 
 • audio kompatibilitás: MP3 / WMA 
 • könyvtárkezelés/léptetés: igen 
 • dal/könyvtár ismétlés, véletlen sorrend: igen 
 • EQ hangzásbeállítás: 6 féle hangszínbeállítás 
 • billenthető kezelőfelület: igen 
 • tartozék: távirányító, AUX kábel 
 • tápellátás: 12 V DC (szivargyújtó csatlakozó)</t>
        </is>
      </c>
    </row>
    <row r="1557">
      <c r="A1557" s="3" t="inlineStr">
        <is>
          <t>BTRC 100</t>
        </is>
      </c>
      <c r="B1557" s="2" t="inlineStr">
        <is>
          <t>Vezeték nélküli BT adó/vevő</t>
        </is>
      </c>
      <c r="C1557" s="1" t="n">
        <v>10690.0</v>
      </c>
      <c r="D1557" s="7" t="n">
        <f>HYPERLINK("https://www.somogyi.hu/product/vezetek-nelkuli-bt-ado-vevo-btrc-100-15490","https://www.somogyi.hu/product/vezetek-nelkuli-bt-ado-vevo-btrc-100-15490")</f>
        <v>0.0</v>
      </c>
      <c r="E1557" s="7" t="n">
        <f>HYPERLINK("https://www.somogyi.hu/data/img/product_main_images/small/15490.jpg","https://www.somogyi.hu/data/img/product_main_images/small/15490.jpg")</f>
        <v>0.0</v>
      </c>
      <c r="F1557" s="2" t="inlineStr">
        <is>
          <t>5999084935245</t>
        </is>
      </c>
      <c r="G1557" s="4" t="inlineStr">
        <is>
          <t>A BTRC 100 2in1 BT adapter segítségével bővítheti készülékeit vezeték nélküli hangátvitel funkcióval.  A készülék kiváló hangzást biztosít, illetve automatikus újracsatlakozást. Vezeték nélkül is lehetőség van a zenelejátszásra, nyílt terepen kb. 10 méter hatótávolságig. Beépített akkumulátorral rendelkezik. Átkapcsolható a BT adó vagy BT vevő. Válassza a minőségi termékeket és rendeljen webáruházunkból!</t>
        </is>
      </c>
    </row>
    <row r="1558">
      <c r="A1558" s="3" t="inlineStr">
        <is>
          <t>BTRC 1000</t>
        </is>
      </c>
      <c r="B1558" s="2" t="inlineStr">
        <is>
          <t>SAL BTRC 1000 sztereó streaming box, ByPass, digitális-analóg átalakító, 2 BT eszköz, USB-C, Toshlink</t>
        </is>
      </c>
      <c r="C1558" s="1" t="n">
        <v>15390.0</v>
      </c>
      <c r="D1558" s="7" t="n">
        <f>HYPERLINK("https://www.somogyi.hu/product/sal-btrc-1000-sztereo-streaming-box-bypass-digitalis-analog-atalakito-2-bt-eszkoz-usb-c-toshlink-btrc-1000-18188","https://www.somogyi.hu/product/sal-btrc-1000-sztereo-streaming-box-bypass-digitalis-analog-atalakito-2-bt-eszkoz-usb-c-toshlink-btrc-1000-18188")</f>
        <v>0.0</v>
      </c>
      <c r="E1558" s="7" t="n">
        <f>HYPERLINK("https://www.somogyi.hu/data/img/product_main_images/small/18188.jpg","https://www.somogyi.hu/data/img/product_main_images/small/18188.jpg")</f>
        <v>0.0</v>
      </c>
      <c r="F1558" s="2" t="inlineStr">
        <is>
          <t>5999084962104</t>
        </is>
      </c>
      <c r="G1558" s="4" t="inlineStr">
        <is>
          <t xml:space="preserve"> • kijelző: LCD 1.8” kijelző 
 • csatlakoztatható eszköz: ∅3,5 mm analóg ki- és bemenet, Toslink optikai digitális ki- és bemenet 
 • funkciók: VEZETÉK NÉLKÜLI HANGÁTVITEL RÉGI KÉSZÜLÉKEKHEZ IS • átkapcsolhatóan BT vevő vagy BT adó • vezetékes „átmenő” funkció (ByPass) • digitális-analóg audio átalakító • analóg-digitális audio átalakító 
 • tartozék: USB-C és 3,5 mm - 3,5 mm vezeték, optikai csatlakozókábel 
 • tápellátás: USB-C aljzat • javasolt adapter: SA 24USB, SA 50USB 
 • BT: v5.0 / ~10 m nyílt terepen • Bluetooth 2.402-2.480 GHz ERP ≤2.5 mW 
 • jellemzők: egyidejűleg két BT eszköz csatlakoztatható • vezetékes és vezeték nélküli fejhallgatókhoz</t>
        </is>
      </c>
    </row>
    <row r="1559">
      <c r="A1559" s="3" t="inlineStr">
        <is>
          <t>FMBT HIFI</t>
        </is>
      </c>
      <c r="B1559" s="2" t="inlineStr">
        <is>
          <t>SAL FMBT HIFI autós kihangosító és töltő, dupla USB töltő, QC3.0, feszültségmérő, MicroSD, AUX, D/A és földhurok zajszűrő</t>
        </is>
      </c>
      <c r="C1559" s="1" t="n">
        <v>13390.0</v>
      </c>
      <c r="D1559" s="7" t="n">
        <f>HYPERLINK("https://www.somogyi.hu/product/sal-fmbt-hifi-autos-kihangosito-es-tolto-dupla-usb-tolto-qc3-0-feszultsegmero-microsd-aux-d-a-es-foldhurok-zajszuro-fmbt-hifi-17750","https://www.somogyi.hu/product/sal-fmbt-hifi-autos-kihangosito-es-tolto-dupla-usb-tolto-qc3-0-feszultsegmero-microsd-aux-d-a-es-foldhurok-zajszuro-fmbt-hifi-17750")</f>
        <v>0.0</v>
      </c>
      <c r="E1559" s="7" t="n">
        <f>HYPERLINK("https://www.somogyi.hu/data/img/product_main_images/small/17750.jpg","https://www.somogyi.hu/data/img/product_main_images/small/17750.jpg")</f>
        <v>0.0</v>
      </c>
      <c r="F1559" s="2" t="inlineStr">
        <is>
          <t>5999084957728</t>
        </is>
      </c>
      <c r="G1559" s="4" t="inlineStr">
        <is>
          <t>Az FMBT HIFI autós kihangosító és töltő ideális választás telefonáláshoz és zenehallgatáshoz egyaránt. Ez a készülék egy BT kihangosítót, FM modulátort, dupla USB öltőt, zenelejátszót és autós Voltmérőt egyesít. A készülék nagyméretű, 1.8”-os színes kijelzőjén az információk könnyen leolvashatóak és áttekinthetőek. A valódi 19-sávos spektrum-analizátor lehetővé teszi a pontos frekvenciabeállítást és a kiemelkedő hangélményt. A retro Hi-Tech dizájn igazi HIFI hangzást rejt. Az FMBT HIFI autós kihangosító és töltő 7 féle EQ móddal és magas/mély hangszínszabályozással is rendelkezik, amelyek segítségével a zenei élmény testre szabható. A könyvtárak és műsorszámok egyszerűen kezelhetőek a készülék segítségével, és a szöveges műsorszám-információk megkönnyítik a zenék azonosítását. A termék zavartalan és kényelmes telefonbeszélgetéseket biztosít. A telefon érintése nélkül fogadható, elutasítható és tárcsázható a hívószám. Az áttekinthető, többnyelvű menü (EN, HU, CZ, RO) lehetővé teszi a kényelmes használatot és a beállítások könnyű navigálását.</t>
        </is>
      </c>
    </row>
    <row r="1560">
      <c r="A1560" s="6" t="inlineStr">
        <is>
          <t xml:space="preserve">   Hangtechnika / Autós videotechnika</t>
        </is>
      </c>
      <c r="B1560" s="6" t="inlineStr">
        <is>
          <t/>
        </is>
      </c>
      <c r="C1560" s="6" t="inlineStr">
        <is>
          <t/>
        </is>
      </c>
      <c r="D1560" s="6" t="inlineStr">
        <is>
          <t/>
        </is>
      </c>
      <c r="E1560" s="6" t="inlineStr">
        <is>
          <t/>
        </is>
      </c>
      <c r="F1560" s="6" t="inlineStr">
        <is>
          <t/>
        </is>
      </c>
      <c r="G1560" s="6" t="inlineStr">
        <is>
          <t/>
        </is>
      </c>
    </row>
    <row r="1561">
      <c r="A1561" s="3" t="inlineStr">
        <is>
          <t>SA 143</t>
        </is>
      </c>
      <c r="B1561" s="2" t="inlineStr">
        <is>
          <t>SAL SA 143 tolatókamera, univerzális, színes segédábra, 6 m csatlakozókábel</t>
        </is>
      </c>
      <c r="C1561" s="1" t="n">
        <v>5590.0</v>
      </c>
      <c r="D1561" s="7" t="n">
        <f>HYPERLINK("https://www.somogyi.hu/product/sal-sa-143-tolatokamera-univerzalis-szines-segedabra-6-m-csatlakozokabel-sa-143-16155","https://www.somogyi.hu/product/sal-sa-143-tolatokamera-univerzalis-szines-segedabra-6-m-csatlakozokabel-sa-143-16155")</f>
        <v>0.0</v>
      </c>
      <c r="E1561" s="7" t="n">
        <f>HYPERLINK("https://www.somogyi.hu/data/img/product_main_images/small/16155.jpg","https://www.somogyi.hu/data/img/product_main_images/small/16155.jpg")</f>
        <v>0.0</v>
      </c>
      <c r="F1561" s="2" t="inlineStr">
        <is>
          <t>5999084941871</t>
        </is>
      </c>
      <c r="G1561" s="4" t="inlineStr">
        <is>
          <t>Az SA 143 Tolatókamera segítségével könnyebben, gyorsabban és biztonságosabban parkolhat. Az autó körüli tárgyakat, gyalogosokat, állatokat jobban láthatja, így elkerülhetőek a parkolási balesetek. A legtöbb járműbe univerzálisan beszerelhető. Alkalmas a megfelelő autórádióval vagy önálló monitorral történő összekapcsolásra. Az erre előkészített autórádió képernyőjén tolatáskor automatikusan megjelenik a kamera képe. Színes segédábra látható a képernyőn a tolatás támogatására. 
Tartozékként szállítjuk a kb 6 m hosszú video csatlakozókábelt és a tápellátáshoz csatlakozókábelt.</t>
        </is>
      </c>
    </row>
    <row r="1562">
      <c r="A1562" s="3" t="inlineStr">
        <is>
          <t>CHDHX-101-RW</t>
        </is>
      </c>
      <c r="B1562" s="2" t="inlineStr">
        <is>
          <t>H10 BLACK (GoPro Hero 10)</t>
        </is>
      </c>
      <c r="C1562" s="1" t="n">
        <v>181990.0</v>
      </c>
      <c r="D1562" s="7" t="n">
        <f>HYPERLINK("https://www.somogyi.hu/product/h10-black-gopro-hero-10-chdhx-101-rw-18278","https://www.somogyi.hu/product/h10-black-gopro-hero-10-chdhx-101-rw-18278")</f>
        <v>0.0</v>
      </c>
      <c r="E1562" s="7" t="n">
        <f>HYPERLINK("https://www.somogyi.hu/data/img/product_main_images/small/18278.jpg","https://www.somogyi.hu/data/img/product_main_images/small/18278.jpg")</f>
        <v>0.0</v>
      </c>
      <c r="F1562" s="2" t="inlineStr">
        <is>
          <t>818279027228</t>
        </is>
      </c>
      <c r="G1562" s="4" t="inlineStr">
        <is>
          <t xml:space="preserve"> • képfelbontás: full HD (1920 x 1080) 
 • színes LCD képernyő: 2.27 inch” 
 • memória: támogatott memóriakártyák: microSD, microSDHC, microSDXC 
 • beépített mikrofon: van 
 • beépített hangszóró: van 
 • video kompatibilitás: H.264 , MP4 , H.265 
 • WIFI: van 
 • egyéb: felvételi mód: 4K kamera• videó maximális felbontása: 3840 x 2160 • FPS maximum felbontásnál: 60 kép/mp • képformátum: RAW • Maximális felbontás Fotó módban: 23 Mpix • Képkocka / másodperc (FPS): 25 • Képstabilizátor (digitális) • Bluetooth 
 • A/V kimenet: HDMI 
 • USB csatlakozó: van 
 • beépített akkumulátor: 1720 mAh 
 • méret: 71.8 x 33.6 x 50.8 mm 
 • súly: 153 g 
 • víz elleni védettség: vízálló (1 ATM)</t>
        </is>
      </c>
    </row>
    <row r="1563">
      <c r="A1563" s="6" t="inlineStr">
        <is>
          <t xml:space="preserve">   Hangtechnika / Szubláda, szubcső</t>
        </is>
      </c>
      <c r="B1563" s="6" t="inlineStr">
        <is>
          <t/>
        </is>
      </c>
      <c r="C1563" s="6" t="inlineStr">
        <is>
          <t/>
        </is>
      </c>
      <c r="D1563" s="6" t="inlineStr">
        <is>
          <t/>
        </is>
      </c>
      <c r="E1563" s="6" t="inlineStr">
        <is>
          <t/>
        </is>
      </c>
      <c r="F1563" s="6" t="inlineStr">
        <is>
          <t/>
        </is>
      </c>
      <c r="G1563" s="6" t="inlineStr">
        <is>
          <t/>
        </is>
      </c>
    </row>
    <row r="1564">
      <c r="A1564" s="3" t="inlineStr">
        <is>
          <t>BS 10</t>
        </is>
      </c>
      <c r="B1564" s="2" t="inlineStr">
        <is>
          <t>SAL BS 10 szubláda, 150 W, 250 mm hangszóró, 4 Ohm, polipropilén membrán, 355 x 300 x 180 mm</t>
        </is>
      </c>
      <c r="C1564" s="1" t="n">
        <v>21990.0</v>
      </c>
      <c r="D1564" s="7" t="n">
        <f>HYPERLINK("https://www.somogyi.hu/product/sal-bs-10-szublada-150-w-250-mm-hangszoro-4-ohm-polipropilen-membran-355-x-300-x-180-mm-bs-10-14179","https://www.somogyi.hu/product/sal-bs-10-szublada-150-w-250-mm-hangszoro-4-ohm-polipropilen-membran-355-x-300-x-180-mm-bs-10-14179")</f>
        <v>0.0</v>
      </c>
      <c r="E1564" s="7" t="n">
        <f>HYPERLINK("https://www.somogyi.hu/data/img/product_main_images/small/14179.jpg","https://www.somogyi.hu/data/img/product_main_images/small/14179.jpg")</f>
        <v>0.0</v>
      </c>
      <c r="F1564" s="2" t="inlineStr">
        <is>
          <t>5999084922276</t>
        </is>
      </c>
      <c r="G1564" s="4" t="inlineStr">
        <is>
          <t>Mindene a zene és az autók? Ez esetben egy minőségi szubláda garantáltan fel fogja dobni a vezetési élményét!
A külső behatásoknak ellenálló, ívelt sarkú szubláda különleges vékony kivitellel rendelkezik.
A beépített mélysugárzója 250 mm-es. A doboz dynamic-bass rendszerű zárt konstrukció. A teljesítménye 100 W-os. Mérete: 355 x 300 x 180 mm. Válassza a minőségi termékeket és rendeljen webáruházunkból.</t>
        </is>
      </c>
    </row>
    <row r="1565">
      <c r="A1565" s="3" t="inlineStr">
        <is>
          <t>BS 10/A</t>
        </is>
      </c>
      <c r="B1565" s="2" t="inlineStr">
        <is>
          <t>SAL BS 10/A aktív szubláda, 200 W, 250 mm hangszóró, polipropilén kónusz, 4 Ohm, 340 x 310 x 280 mm, 100 W erősítő</t>
        </is>
      </c>
      <c r="C1565" s="1" t="n">
        <v>38690.0</v>
      </c>
      <c r="D1565" s="7" t="n">
        <f>HYPERLINK("https://www.somogyi.hu/product/sal-bs-10-a-aktiv-szublada-200-w-250-mm-hangszoro-polipropilen-konusz-4-ohm-340-x-310-x-280-mm-100-w-erosito-bs-10-a-14180","https://www.somogyi.hu/product/sal-bs-10-a-aktiv-szublada-200-w-250-mm-hangszoro-polipropilen-konusz-4-ohm-340-x-310-x-280-mm-100-w-erosito-bs-10-a-14180")</f>
        <v>0.0</v>
      </c>
      <c r="E1565" s="7" t="n">
        <f>HYPERLINK("https://www.somogyi.hu/data/img/product_main_images/small/14180.jpg","https://www.somogyi.hu/data/img/product_main_images/small/14180.jpg")</f>
        <v>0.0</v>
      </c>
      <c r="F1565" s="2" t="inlineStr">
        <is>
          <t>5999084922283</t>
        </is>
      </c>
      <c r="G1565" s="4" t="inlineStr">
        <is>
          <t>Mindene a zene és az autók? Ez esetben egy minőségi aktív szubláda garantáltan fel fogja dobni a vezetési élményét!
A külső behatásoknak ellenálló masszív, zárt hangdobozú autós szubláda a szokásosnál kisebb helyigényt kíván meg. A hangszóró átmérője 250 mm, a terhelhetősége 200 / 150 W. Mérete: 340 x 310 x 280 mm.
A beépített erősítő 100 W-os kimenő teljesítményt és alacsony, valamint magas szintű bemeneteket biztosít. A készülék minden autóhoz csatlakoztatható, és működtetéséhez akár a távvezérelhető be- és kikapcsolást is választhatjuk. Válassza a minőségi termékeket és rendeljen webáruházunkból.</t>
        </is>
      </c>
    </row>
    <row r="1566">
      <c r="A1566" s="6" t="inlineStr">
        <is>
          <t xml:space="preserve">   Hangtechnika / Autóhangszóró</t>
        </is>
      </c>
      <c r="B1566" s="6" t="inlineStr">
        <is>
          <t/>
        </is>
      </c>
      <c r="C1566" s="6" t="inlineStr">
        <is>
          <t/>
        </is>
      </c>
      <c r="D1566" s="6" t="inlineStr">
        <is>
          <t/>
        </is>
      </c>
      <c r="E1566" s="6" t="inlineStr">
        <is>
          <t/>
        </is>
      </c>
      <c r="F1566" s="6" t="inlineStr">
        <is>
          <t/>
        </is>
      </c>
      <c r="G1566" s="6" t="inlineStr">
        <is>
          <t/>
        </is>
      </c>
    </row>
    <row r="1567">
      <c r="A1567" s="3" t="inlineStr">
        <is>
          <t>CX 404</t>
        </is>
      </c>
      <c r="B1567" s="2" t="inlineStr">
        <is>
          <t>SAL CX 404 2 utas hangszórópár, 2 x 55 W, 100 mm, 4 Ohm, magas és mélyközép</t>
        </is>
      </c>
      <c r="C1567" s="1" t="n">
        <v>9790.0</v>
      </c>
      <c r="D1567" s="7" t="n">
        <f>HYPERLINK("https://www.somogyi.hu/product/sal-cx-404-2-utas-hangszoropar-2-x-55-w-100-mm-4-ohm-magas-es-melykozep-cx-404-13028","https://www.somogyi.hu/product/sal-cx-404-2-utas-hangszoropar-2-x-55-w-100-mm-4-ohm-magas-es-melykozep-cx-404-13028")</f>
        <v>0.0</v>
      </c>
      <c r="E1567" s="7" t="n">
        <f>HYPERLINK("https://www.somogyi.hu/data/img/product_main_images/small/13028.jpg","https://www.somogyi.hu/data/img/product_main_images/small/13028.jpg")</f>
        <v>0.0</v>
      </c>
      <c r="F1567" s="2" t="inlineStr">
        <is>
          <t>5999084912093</t>
        </is>
      </c>
      <c r="G1567" s="4" t="inlineStr">
        <is>
          <t>Alakítsa ki a saját igényeinek megfelelő zenei hangzást autójában! A CX 404 típusú 2 utas autóhangszóró-pár 110 W (2 x 55 W max.) zenei terhelhetőséggel rendelkezik. A mélyközép sugárzó: 100 mm PP kónusszal, a magas: ∅30 mm mylar dómsugárzóval van ellátva. 
A hangszóró frekvencia-átvitele 55 -20.000 Hz közötti tartományba esik, érzékenysége: 88 dB. Válassza a minőségi termékeket és rendeljen webáruházunkból.</t>
        </is>
      </c>
    </row>
    <row r="1568">
      <c r="A1568" s="3" t="inlineStr">
        <is>
          <t>WRX 316</t>
        </is>
      </c>
      <c r="B1568" s="2" t="inlineStr">
        <is>
          <t>SAL WRX 316 3 utas hangszórópár, 2 x 110 W, 165 mm, 4 Ohm</t>
        </is>
      </c>
      <c r="C1568" s="1" t="n">
        <v>22890.0</v>
      </c>
      <c r="D1568" s="7" t="n">
        <f>HYPERLINK("https://www.somogyi.hu/product/sal-wrx-316-3-utas-hangszoropar-2-x-110-w-165-mm-4-ohm-wrx-316-7983","https://www.somogyi.hu/product/sal-wrx-316-3-utas-hangszoropar-2-x-110-w-165-mm-4-ohm-wrx-316-7983")</f>
        <v>0.0</v>
      </c>
      <c r="E1568" s="7" t="n">
        <f>HYPERLINK("https://www.somogyi.hu/data/img/product_main_images/small/07983.jpg","https://www.somogyi.hu/data/img/product_main_images/small/07983.jpg")</f>
        <v>0.0</v>
      </c>
      <c r="F1568" s="2" t="inlineStr">
        <is>
          <t>5998312769386</t>
        </is>
      </c>
      <c r="G1568" s="4" t="inlineStr">
        <is>
          <t>Ezzel a termékkel garantáltan olyan hangerőben hallgathatja a kedvenc slágerit vezetés közben, ahogy kedve tartja!
 A WR316 típusú 3 utas autóhangszóró-pár 220 W (2 x 110 W max.) zenei terhelhetőséggel rendelkezik. A mélysugárzó: ∅165 mm PEI kónusszal, a közép: ∅30 mm mylar dómsugárzóval, míg a magas: ∅15 mm piezo magassugárzóval van ellátva. A hangszóró frekvencia-átvitele 45-20.000 Hz közötti tartományba esik, érzékenysége: 88 dB. Válassza a minőségi termékeket és rendeljen webáruházunkból.</t>
        </is>
      </c>
    </row>
    <row r="1569">
      <c r="A1569" s="3" t="inlineStr">
        <is>
          <t>CX 504</t>
        </is>
      </c>
      <c r="B1569" s="2" t="inlineStr">
        <is>
          <t>SAL CX 504 2 utas hangszórópár, 2 x 75 W, 130 mm, 4 Ohm, magas és mélyközép</t>
        </is>
      </c>
      <c r="C1569" s="1" t="n">
        <v>12090.0</v>
      </c>
      <c r="D1569" s="7" t="n">
        <f>HYPERLINK("https://www.somogyi.hu/product/sal-cx-504-2-utas-hangszoropar-2-x-75-w-130-mm-4-ohm-magas-es-melykozep-cx-504-13029","https://www.somogyi.hu/product/sal-cx-504-2-utas-hangszoropar-2-x-75-w-130-mm-4-ohm-magas-es-melykozep-cx-504-13029")</f>
        <v>0.0</v>
      </c>
      <c r="E1569" s="7" t="n">
        <f>HYPERLINK("https://www.somogyi.hu/data/img/product_main_images/small/13029.jpg","https://www.somogyi.hu/data/img/product_main_images/small/13029.jpg")</f>
        <v>0.0</v>
      </c>
      <c r="F1569" s="2" t="inlineStr">
        <is>
          <t>5999084912109</t>
        </is>
      </c>
      <c r="G1569" s="4" t="inlineStr">
        <is>
          <t>Alakítsa ki a saját igényeinek megfelelő zenei hangzást autójában! A CX 504 típusú 2 utas autóhangszóró-pár 150 W (2 x 75 W max.) zenei terhelhetőséggel rendelkezik. A mélyközép sugárzó: 130 mm PP kónusszal, a magas: ∅35 mm mylar dómsugárzóval van ellátva. 
A hangszóró frekvencia-átvitele 50 -20.000 Hz közötti tartományba esik, érzékenysége: 89 dB. Válassza a minőségi termékeket és rendeljen webáruházunkból.</t>
        </is>
      </c>
    </row>
    <row r="1570">
      <c r="A1570" s="3" t="inlineStr">
        <is>
          <t>CX 604</t>
        </is>
      </c>
      <c r="B1570" s="2" t="inlineStr">
        <is>
          <t>SAL CX 604 2 utas hangszórópár, 2 x 100 W, 165 mm, 4 Ohm, magas és mélyközép</t>
        </is>
      </c>
      <c r="C1570" s="1" t="n">
        <v>12790.0</v>
      </c>
      <c r="D1570" s="7" t="n">
        <f>HYPERLINK("https://www.somogyi.hu/product/sal-cx-604-2-utas-hangszoropar-2-x-100-w-165-mm-4-ohm-magas-es-melykozep-cx-604-13030","https://www.somogyi.hu/product/sal-cx-604-2-utas-hangszoropar-2-x-100-w-165-mm-4-ohm-magas-es-melykozep-cx-604-13030")</f>
        <v>0.0</v>
      </c>
      <c r="E1570" s="7" t="n">
        <f>HYPERLINK("https://www.somogyi.hu/data/img/product_main_images/small/13030.jpg","https://www.somogyi.hu/data/img/product_main_images/small/13030.jpg")</f>
        <v>0.0</v>
      </c>
      <c r="F1570" s="2" t="inlineStr">
        <is>
          <t>5999084912116</t>
        </is>
      </c>
      <c r="G1570" s="4" t="inlineStr">
        <is>
          <t>Alakítsa ki a saját igényeinek megfelelő zenei hangzást autójában! A CX 604 típusú 2 utas autóhangszóró-pár 200 W (2 x 100 W max.) zenei terhelhetőséggel rendelkezik. A mélyközép sugárzó: 165 mm PP kónusszal, a magas: ∅35 mm mylar dómsugárzóval van ellátva. 
A hangszóró frekvencia-átvitele 45 -20.000 Hz közötti tartományba esik, érzékenysége: 90 dB. Válassza a minőségi termékeket és rendeljen webáruházunkból.</t>
        </is>
      </c>
    </row>
    <row r="1571">
      <c r="A1571" s="3" t="inlineStr">
        <is>
          <t>AHX 1620/BK</t>
        </is>
      </c>
      <c r="B1571" s="2" t="inlineStr">
        <is>
          <t>AHX 1620/BK mélysugárzó, 60 W, kevlár kónusz, 4 Ohm, 50 - 7000 Hz, 1" hangtekercs, 2 réteg</t>
        </is>
      </c>
      <c r="C1571" s="1" t="n">
        <v>8990.0</v>
      </c>
      <c r="D1571" s="7" t="n">
        <f>HYPERLINK("https://www.somogyi.hu/product/ahx-1620-bk-melysugarzo-60-w-kevlar-konusz-4-ohm-50-7000-hz-1-hangtekercs-2-reteg-ahx-1620-bk-8796","https://www.somogyi.hu/product/ahx-1620-bk-melysugarzo-60-w-kevlar-konusz-4-ohm-50-7000-hz-1-hangtekercs-2-reteg-ahx-1620-bk-8796")</f>
        <v>0.0</v>
      </c>
      <c r="E1571" s="7" t="n">
        <f>HYPERLINK("https://www.somogyi.hu/data/img/product_main_images/small/08796.jpg","https://www.somogyi.hu/data/img/product_main_images/small/08796.jpg")</f>
        <v>0.0</v>
      </c>
      <c r="F1571" s="2" t="inlineStr">
        <is>
          <t>5998312776780</t>
        </is>
      </c>
      <c r="G1571" s="4" t="inlineStr">
        <is>
          <t>Keresse a legmegbízhatóbb autós hangtechnikai eszközöket!
Az AHX 1620/BK egy 165 mm átmérőjű beépíthető mélysugárzó, amely 60 / 40 W teljesítménnyel rendelkezik. 
Frekvencia-átvitele 50 - 7.000 Hz közötti, míg érzékenysége: 88 dB. A hangtekercs: 1, 2 rétegű. A kevlár membrán gumi peremmel van ellátva és alumínium csévetesttel rendelkezik. A mágnes súlya 20 Oz. Válassza minőségi termékeket és rendeljen webáruházunkból.</t>
        </is>
      </c>
    </row>
    <row r="1572">
      <c r="A1572" s="3" t="inlineStr">
        <is>
          <t>AHX 2030/BK</t>
        </is>
      </c>
      <c r="B1572" s="2" t="inlineStr">
        <is>
          <t>AHX 2030/BK mélysugárzó, 120 W, kevlár kónusz, 4 Ohm, 40 - 4000 Hz, 1,5" hangtekercs, 4 réteg</t>
        </is>
      </c>
      <c r="C1572" s="1" t="n">
        <v>14390.0</v>
      </c>
      <c r="D1572" s="7" t="n">
        <f>HYPERLINK("https://www.somogyi.hu/product/ahx-2030-bk-melysugarzo-120-w-kevlar-konusz-4-ohm-40-4000-hz-1-5-hangtekercs-4-reteg-ahx-2030-bk-8800","https://www.somogyi.hu/product/ahx-2030-bk-melysugarzo-120-w-kevlar-konusz-4-ohm-40-4000-hz-1-5-hangtekercs-4-reteg-ahx-2030-bk-8800")</f>
        <v>0.0</v>
      </c>
      <c r="E1572" s="7" t="n">
        <f>HYPERLINK("https://www.somogyi.hu/data/img/product_main_images/small/08800.jpg","https://www.somogyi.hu/data/img/product_main_images/small/08800.jpg")</f>
        <v>0.0</v>
      </c>
      <c r="F1572" s="2" t="inlineStr">
        <is>
          <t>5998312776827</t>
        </is>
      </c>
      <c r="G1572" s="4" t="inlineStr">
        <is>
          <t>Keresse a legmegbízhatóbb autós hangtechnikai eszközöket!
Az AHX 2030/BK egy 202 mm átmérőjű beépíthető mélysugárzó, amely 120 / 80 W teljesítménnyel rendelkezik. 
Frekvencia-átvitele 40 - 4.000 Hz közötti, míg érzékenysége: 88 dB. A hangtekercs: 1,5, 4 rétegű. A kevlár membrán gumi peremmel van ellátva és alumínium csévetesttel rendelkezik. A mágnes súlya 30 Oz. Válassza minőségi termékeket és rendeljen webáruházunkból.</t>
        </is>
      </c>
    </row>
    <row r="1573">
      <c r="A1573" s="3" t="inlineStr">
        <is>
          <t>BK 100</t>
        </is>
      </c>
      <c r="B1573" s="2" t="inlineStr">
        <is>
          <t>SAL BK 100 autóhangszóró pár, 100 mm, dupla kónusz, 2 x 45 Wmax, 4 Ohm, 55 - 19.000 Hz, 85 dB, PEI magas tölcsér, cellulóz mélyközép kónusz</t>
        </is>
      </c>
      <c r="C1573" s="1" t="n">
        <v>6690.0</v>
      </c>
      <c r="D1573" s="7" t="n">
        <f>HYPERLINK("https://www.somogyi.hu/product/sal-bk-100-autohangszoro-par-100-mm-dupla-konusz-2-x-45-wmax-4-ohm-55-19-000-hz-85-db-pei-magas-tolcser-celluloz-melykozep-konusz-bk-100-11828","https://www.somogyi.hu/product/sal-bk-100-autohangszoro-par-100-mm-dupla-konusz-2-x-45-wmax-4-ohm-55-19-000-hz-85-db-pei-magas-tolcser-celluloz-melykozep-konusz-bk-100-11828")</f>
        <v>0.0</v>
      </c>
      <c r="E1573" s="7" t="n">
        <f>HYPERLINK("https://www.somogyi.hu/data/img/product_main_images/small/11828.jpg","https://www.somogyi.hu/data/img/product_main_images/small/11828.jpg")</f>
        <v>0.0</v>
      </c>
      <c r="F1573" s="2" t="inlineStr">
        <is>
          <t>5999084900403</t>
        </is>
      </c>
      <c r="G1573" s="4" t="inlineStr">
        <is>
          <t>Egy olyan autó hangszórót keres, ami nem csak erős, hanem kristálytiszta hangzást is nyújt? A SAL BK 100 autó hangszóró pár tökéletes választás azok számára, akik minőségi hangzást szeretnének az autójukban. A mélyközép hangszóró ∅100 mm-es cellulóz kónuszának köszönhetően gazdag és mély hangokat produkál, míg a PEI tölcsér a magas hangokat tisztán és élesen szólaltatja meg.
A 90 W zenei terhelhetősége (2 x 45 W max.) biztosítja, hogy a hangszóró bármilyen zenei stílust hibátlanul továbbíthasson, legyen az dinamikus pop, mély basszusú elektronikus zene vagy éppen részletgazdag klasszikus darab. A frekvencia-átvitel 55-19.000 Hz között mozog, ami széles spektrumú hangzást tesz lehetővé. Az 85 dB-es érzékenység pedig garantálja, hogy a hangszórók a kisebb teljesítményű fejegységekkel is kiválóan működjenek.
Ne engedje, hogy az autójában töltött idő unalmas utazássá váljon! A SAL BK 100 autó hangszóró párral minden út zenés kalanddá alakul. Rendelje meg most, és élvezze az utazást a tökéletes hangzásvilágban!</t>
        </is>
      </c>
    </row>
    <row r="1574">
      <c r="A1574" s="3" t="inlineStr">
        <is>
          <t>BK 087</t>
        </is>
      </c>
      <c r="B1574" s="2" t="inlineStr">
        <is>
          <t>SAL BK 087 autóhangszóró pár, 87 mm, 2 x 35 Wmax, 75 - 18.500 Hz, 85 dB, PEI magas tölcsér, cellulóz mélyközép kónusz</t>
        </is>
      </c>
      <c r="C1574" s="1" t="n">
        <v>6290.0</v>
      </c>
      <c r="D1574" s="7" t="n">
        <f>HYPERLINK("https://www.somogyi.hu/product/sal-bk-087-autohangszoro-par-87-mm-2-x-35-wmax-75-18-500-hz-85-db-pei-magas-tolcser-celluloz-melykozep-konusz-bk-087-11832","https://www.somogyi.hu/product/sal-bk-087-autohangszoro-par-87-mm-2-x-35-wmax-75-18-500-hz-85-db-pei-magas-tolcser-celluloz-melykozep-konusz-bk-087-11832")</f>
        <v>0.0</v>
      </c>
      <c r="E1574" s="7" t="n">
        <f>HYPERLINK("https://www.somogyi.hu/data/img/product_main_images/small/11832.jpg","https://www.somogyi.hu/data/img/product_main_images/small/11832.jpg")</f>
        <v>0.0</v>
      </c>
      <c r="F1574" s="2" t="inlineStr">
        <is>
          <t>5999084900441</t>
        </is>
      </c>
      <c r="G1574" s="4" t="inlineStr">
        <is>
          <t>Élvezze vezetés közben is a legjobb hangzásban kedven slágereit! A BK 087 típusú hangszóró-pár 70 W (2 x 35 W max.) zenei terhelhetőséggel rendelkezik. A mélyközép sugárzó: ∅87 mm cellulóz kónusszal, a magas: PEI tölcsérrel van ellátva. 
A hangszóró frekvencia-átvitele 75 -18.500 Hz közötti tartományba esik, érzékenysége: 85 dB. Válassza a minőségi termékeket és rendeljen webáruházunkból.</t>
        </is>
      </c>
    </row>
    <row r="1575">
      <c r="A1575" s="3" t="inlineStr">
        <is>
          <t>BK 130</t>
        </is>
      </c>
      <c r="B1575" s="2" t="inlineStr">
        <is>
          <t>SAL BK 130 autóhangszóró pár, 130 mm, dupla kónusz, 2 x 50 Wmax, 4 Ohm, 50 - 19.000 Hz, 86 dB, PEI magas tölcsér, cellulóz mélyközép kónusz</t>
        </is>
      </c>
      <c r="C1575" s="1" t="n">
        <v>7590.0</v>
      </c>
      <c r="D1575" s="7" t="n">
        <f>HYPERLINK("https://www.somogyi.hu/product/sal-bk-130-autohangszoro-par-130-mm-dupla-konusz-2-x-50-wmax-4-ohm-50-19-000-hz-86-db-pei-magas-tolcser-celluloz-melykozep-konusz-bk-130-11833","https://www.somogyi.hu/product/sal-bk-130-autohangszoro-par-130-mm-dupla-konusz-2-x-50-wmax-4-ohm-50-19-000-hz-86-db-pei-magas-tolcser-celluloz-melykozep-konusz-bk-130-11833")</f>
        <v>0.0</v>
      </c>
      <c r="E1575" s="7" t="n">
        <f>HYPERLINK("https://www.somogyi.hu/data/img/product_main_images/small/11833.jpg","https://www.somogyi.hu/data/img/product_main_images/small/11833.jpg")</f>
        <v>0.0</v>
      </c>
      <c r="F1575" s="2" t="inlineStr">
        <is>
          <t>5999084900458</t>
        </is>
      </c>
      <c r="G1575" s="4" t="inlineStr">
        <is>
          <t>Élvezze vezetés közben is a legjobb hangzásban kedven slágereit! A BK 130 típusú hangszóró-pár 100 W (2 x 50 W max.) zenei terhelhetőséggel rendelkezik. A mélyközép sugárzó: ∅130 mm cellulóz kónusszal, a magas: PEI tölcsérrel van ellátva. 
A hangszóró frekvencia-átvitele 50 -19.000 Hz közötti tartományba esik, érzékenysége: 86 dB. Válassza a minőségi termékeket és rendeljen webáruházunkból.</t>
        </is>
      </c>
    </row>
    <row r="1576">
      <c r="A1576" s="3" t="inlineStr">
        <is>
          <t>BK 165</t>
        </is>
      </c>
      <c r="B1576" s="2" t="inlineStr">
        <is>
          <t>SAL BK 165 autóhangszóró pár, 165 mm, dupla kónusz, 2 x 75 Wmax, 4 Ohm, 45 - 19.000 Hz, 86 dB, PEI magas tölcsér, cellulóz mélyközép kónusz</t>
        </is>
      </c>
      <c r="C1576" s="1" t="n">
        <v>9890.0</v>
      </c>
      <c r="D1576" s="7" t="n">
        <f>HYPERLINK("https://www.somogyi.hu/product/sal-bk-165-autohangszoro-par-165-mm-dupla-konusz-2-x-75-wmax-4-ohm-45-19-000-hz-86-db-pei-magas-tolcser-celluloz-melykozep-konusz-bk-165-11834","https://www.somogyi.hu/product/sal-bk-165-autohangszoro-par-165-mm-dupla-konusz-2-x-75-wmax-4-ohm-45-19-000-hz-86-db-pei-magas-tolcser-celluloz-melykozep-konusz-bk-165-11834")</f>
        <v>0.0</v>
      </c>
      <c r="E1576" s="7" t="n">
        <f>HYPERLINK("https://www.somogyi.hu/data/img/product_main_images/small/11834.jpg","https://www.somogyi.hu/data/img/product_main_images/small/11834.jpg")</f>
        <v>0.0</v>
      </c>
      <c r="F1576" s="2" t="inlineStr">
        <is>
          <t>5999084900465</t>
        </is>
      </c>
      <c r="G1576" s="4" t="inlineStr">
        <is>
          <t>Élvezze vezetés közben is a legjobb hangzásban kedven slágereit! A BK 165 típusú hangszóró-pár 150 W (2 x 75 W max.) zenei terhelhetőséggel rendelkezik. A mélyközép sugárzó: ∅165 mm cellulóz kónusszal, a magas: PEI tölcsérrel van ellátva. 
A hangszóró frekvencia-átvitele 45 -19.000 Hz közötti tartományba esik, érzékenysége: 86 dB. Válassza a minőségi termékeket és rendeljen webáruházunkból.</t>
        </is>
      </c>
    </row>
    <row r="1577">
      <c r="A1577" s="3" t="inlineStr">
        <is>
          <t>WRX 310</t>
        </is>
      </c>
      <c r="B1577" s="2" t="inlineStr">
        <is>
          <t>SAL WRX 310 3 utas hangszórópár, 2 x 70 W, 100 mm, 4 Ohm</t>
        </is>
      </c>
      <c r="C1577" s="1" t="n">
        <v>16590.0</v>
      </c>
      <c r="D1577" s="7" t="n">
        <f>HYPERLINK("https://www.somogyi.hu/product/sal-wrx-310-3-utas-hangszoropar-2-x-70-w-100-mm-4-ohm-wrx-310-7981","https://www.somogyi.hu/product/sal-wrx-310-3-utas-hangszoropar-2-x-70-w-100-mm-4-ohm-wrx-310-7981")</f>
        <v>0.0</v>
      </c>
      <c r="E1577" s="7" t="n">
        <f>HYPERLINK("https://www.somogyi.hu/data/img/product_main_images/small/07981.jpg","https://www.somogyi.hu/data/img/product_main_images/small/07981.jpg")</f>
        <v>0.0</v>
      </c>
      <c r="F1577" s="2" t="inlineStr">
        <is>
          <t>5998312769362</t>
        </is>
      </c>
      <c r="G1577" s="4" t="inlineStr">
        <is>
          <t>Hallgassa vezetés közben is a legjobb zenei hangzásban kedvenc slágereit! A WR310 típusú 3 utas autóhangszóró-pár 140 W (2 x 70 W max.) zenei terhelhetőséggel rendelkezik. A mélysugárzó: ∅100 mm PEI kónusszos, a közép: ∅30 mm mylar dómsugárzó, míg a magas: ∅15 mm piezo magassugárzó. A hangszóró frekvencia-átvitele 60-20.000 Hz közötti tartományba esik, érzékenysége: 86 dB. Válassza a minőségi termékeket és rendeljen webáruházunkból.</t>
        </is>
      </c>
    </row>
    <row r="1578">
      <c r="A1578" s="3" t="inlineStr">
        <is>
          <t>WRX 313</t>
        </is>
      </c>
      <c r="B1578" s="2" t="inlineStr">
        <is>
          <t>SAL WRX 313 3 utas hangszórópár, 2 x 90 W, 130 mm, 4 Ohm</t>
        </is>
      </c>
      <c r="C1578" s="1" t="n">
        <v>19390.0</v>
      </c>
      <c r="D1578" s="7" t="n">
        <f>HYPERLINK("https://www.somogyi.hu/product/sal-wrx-313-3-utas-hangszoropar-2-x-90-w-130-mm-4-ohm-wrx-313-7982","https://www.somogyi.hu/product/sal-wrx-313-3-utas-hangszoropar-2-x-90-w-130-mm-4-ohm-wrx-313-7982")</f>
        <v>0.0</v>
      </c>
      <c r="E1578" s="7" t="n">
        <f>HYPERLINK("https://www.somogyi.hu/data/img/product_main_images/small/07982.jpg","https://www.somogyi.hu/data/img/product_main_images/small/07982.jpg")</f>
        <v>0.0</v>
      </c>
      <c r="F1578" s="2" t="inlineStr">
        <is>
          <t>5998312769379</t>
        </is>
      </c>
      <c r="G1578" s="4" t="inlineStr">
        <is>
          <t>Hallgassa vezetés közben is a legjobb zenei hangzásban kedvenc slágereit! A WR313 típusú 3 utas autóhangszóró-pár 180 W (2 x 90 W max.) zenei terhelhetőséggel rendelkezik. A mélysugárzó: ∅130 mm PEI kónusszal, a közép: ∅30 mm mylar dómsugárzóval, míg a magas: ∅15 mm piezo magassugárzóval van ellátva. A hangszóró frekvencia-átvitele 50-20.000 Hz közötti tartományba esik, érzékenysége: 87 dB. Válassza a minőségi termékeket és rendeljen webáruházunkból.</t>
        </is>
      </c>
    </row>
    <row r="1579">
      <c r="A1579" s="6" t="inlineStr">
        <is>
          <t xml:space="preserve">   Hangtechnika / Autóhifi kiegészítő</t>
        </is>
      </c>
      <c r="B1579" s="6" t="inlineStr">
        <is>
          <t/>
        </is>
      </c>
      <c r="C1579" s="6" t="inlineStr">
        <is>
          <t/>
        </is>
      </c>
      <c r="D1579" s="6" t="inlineStr">
        <is>
          <t/>
        </is>
      </c>
      <c r="E1579" s="6" t="inlineStr">
        <is>
          <t/>
        </is>
      </c>
      <c r="F1579" s="6" t="inlineStr">
        <is>
          <t/>
        </is>
      </c>
      <c r="G1579" s="6" t="inlineStr">
        <is>
          <t/>
        </is>
      </c>
    </row>
    <row r="1580">
      <c r="A1580" s="3" t="inlineStr">
        <is>
          <t>HVS 14</t>
        </is>
      </c>
      <c r="B1580" s="2" t="inlineStr">
        <is>
          <t>SAL HVS 14 hangváltó, 300 W, 4/8 Ohm mélysugárzókhoz</t>
        </is>
      </c>
      <c r="C1580" s="1" t="n">
        <v>7190.0</v>
      </c>
      <c r="D1580" s="7" t="n">
        <f>HYPERLINK("https://www.somogyi.hu/product/sal-hvs-14-hangvalto-300-w-4-8-ohm-melysugarzokhoz-hvs-14-4185","https://www.somogyi.hu/product/sal-hvs-14-hangvalto-300-w-4-8-ohm-melysugarzokhoz-hvs-14-4185")</f>
        <v>0.0</v>
      </c>
      <c r="E1580" s="7" t="n">
        <f>HYPERLINK("https://www.somogyi.hu/data/img/product_main_images/small/04185.jpg","https://www.somogyi.hu/data/img/product_main_images/small/04185.jpg")</f>
        <v>0.0</v>
      </c>
      <c r="F1580" s="2" t="inlineStr">
        <is>
          <t>5998312737224</t>
        </is>
      </c>
      <c r="G1580" s="4" t="inlineStr">
        <is>
          <t>A 300 W teljesítményű HVS 14 hangváltó egy igazán praktikus autó-hifi kiegészítő, amely 4 és 8 Ohmos felhasználásra megfelelő! Használata kifejezetten alkalmas szub-basszus sugárzóhoz. A HVS 14 levágási meredeksége 12 dB / oktáv, vágási frekvenciája 120 Hz / 160 Hz. Válassza a minőségi termékeket és rendeljen webáruházunkból.</t>
        </is>
      </c>
    </row>
    <row r="1581">
      <c r="A1581" s="3" t="inlineStr">
        <is>
          <t>SA 001</t>
        </is>
      </c>
      <c r="B1581" s="2" t="inlineStr">
        <is>
          <t>SAL SA 001 jelszint átalakító, sztereó, 2 x 50 W, hangerőszabályzás csatornánként</t>
        </is>
      </c>
      <c r="C1581" s="1" t="n">
        <v>3790.0</v>
      </c>
      <c r="D1581" s="7" t="n">
        <f>HYPERLINK("https://www.somogyi.hu/product/sal-sa-001-jelszint-atalakito-sztereo-2-x-50-w-hangeroszabalyzas-csatornankent-sa-001-4720","https://www.somogyi.hu/product/sal-sa-001-jelszint-atalakito-sztereo-2-x-50-w-hangeroszabalyzas-csatornankent-sa-001-4720")</f>
        <v>0.0</v>
      </c>
      <c r="E1581" s="7" t="n">
        <f>HYPERLINK("https://www.somogyi.hu/data/img/product_main_images/small/04720.jpg","https://www.somogyi.hu/data/img/product_main_images/small/04720.jpg")</f>
        <v>0.0</v>
      </c>
      <c r="F1581" s="2" t="inlineStr">
        <is>
          <t>5998312741658</t>
        </is>
      </c>
      <c r="G1581" s="4" t="inlineStr">
        <is>
          <t>Gondoskodjon róla, hogy ne hiányozzon semmi az autó-hifi rendszeréhez! Az SA 001 lehetővé teszi olyan erősítő összekötését, amely nem rendelkezik külön erre a célra kialakított csatlakozással. 
A jelszint-átalakító 2 x 50 W bemeneti teljesítménnyel rendelkezik, valamint frekvencia-átvitele 20 - 25.000 Hz. Mérte: 90 x 65 x 27 mm. Válassza a minőségi termékeket és rendeljen webáruházunkból.</t>
        </is>
      </c>
    </row>
    <row r="1582">
      <c r="A1582" s="3" t="inlineStr">
        <is>
          <t>SA 333</t>
        </is>
      </c>
      <c r="B1582" s="2" t="inlineStr">
        <is>
          <t>SAL SA 333 autó-HiFi kábel szett, 1000 W, 80 A, 20 mm2 42 darabos</t>
        </is>
      </c>
      <c r="C1582" s="1" t="n">
        <v>10690.0</v>
      </c>
      <c r="D1582" s="7" t="n">
        <f>HYPERLINK("https://www.somogyi.hu/product/sal-sa-333-auto-hifi-kabel-szett-1000-w-80-a-20-mm2-42-darabos-sa-333-15305","https://www.somogyi.hu/product/sal-sa-333-auto-hifi-kabel-szett-1000-w-80-a-20-mm2-42-darabos-sa-333-15305")</f>
        <v>0.0</v>
      </c>
      <c r="E1582" s="7" t="n">
        <f>HYPERLINK("https://www.somogyi.hu/data/img/product_main_images/small/15305.jpg","https://www.somogyi.hu/data/img/product_main_images/small/15305.jpg")</f>
        <v>0.0</v>
      </c>
      <c r="F1582" s="2" t="inlineStr">
        <is>
          <t>5999084933395</t>
        </is>
      </c>
      <c r="G1582" s="4" t="inlineStr">
        <is>
          <t>Vásárolja meg a legfontosabb autó-hifi kábeleket tartalmazó szettünket. AZ SA 333 összesen 42 darabos gyűjteményt foglal magába, amelyek segítségével biztosítható a fejegység és a tápellátás biztonságos csatlakoztatása, valamint aktív mélysugárzók, szubládák, szubcsövek, erősítők bekötése. A kábel szettre jellemző adatok: 1000 W / 80 A / 20 mm2. Válassza a minőségi termékeket és rendeljen webáruházunkból!</t>
        </is>
      </c>
    </row>
    <row r="1583">
      <c r="A1583" s="3" t="inlineStr">
        <is>
          <t>HV 623</t>
        </is>
      </c>
      <c r="B1583" s="2" t="inlineStr">
        <is>
          <t>SAL HV 623 hangváltó, 3 utas, 200 W</t>
        </is>
      </c>
      <c r="C1583" s="1" t="n">
        <v>4290.0</v>
      </c>
      <c r="D1583" s="7" t="n">
        <f>HYPERLINK("https://www.somogyi.hu/product/sal-hv-623-hangvalto-3-utas-200-w-hv-623-3039","https://www.somogyi.hu/product/sal-hv-623-hangvalto-3-utas-200-w-hv-623-3039")</f>
        <v>0.0</v>
      </c>
      <c r="E1583" s="7" t="n">
        <f>HYPERLINK("https://www.somogyi.hu/data/img/product_main_images/small/03039.jpg","https://www.somogyi.hu/data/img/product_main_images/small/03039.jpg")</f>
        <v>0.0</v>
      </c>
      <c r="F1583" s="2" t="inlineStr">
        <is>
          <t>5998312733639</t>
        </is>
      </c>
      <c r="G1583" s="4" t="inlineStr">
        <is>
          <t>200 W teljesítményű, aranyozott sorkapcsokkal ellátott hangváltó! A HV 623 igazán praktikus autó-hifi kiegészítő, amely garantálja a remek hangzást! Levágási meredeksége 6 dB / oktáv, vágási frekvenciája 7000 Hz / 5000 Hz. Válassza a minőségi termékeket és rendeljen webáruházunkból.</t>
        </is>
      </c>
    </row>
    <row r="1584">
      <c r="A1584" s="3" t="inlineStr">
        <is>
          <t>HV 621</t>
        </is>
      </c>
      <c r="B1584" s="2" t="inlineStr">
        <is>
          <t>SAL HV 621 hangváltó, 2 utas, 200 W</t>
        </is>
      </c>
      <c r="C1584" s="1" t="n">
        <v>3990.0</v>
      </c>
      <c r="D1584" s="7" t="n">
        <f>HYPERLINK("https://www.somogyi.hu/product/sal-hv-621-hangvalto-2-utas-200-w-hv-621-3038","https://www.somogyi.hu/product/sal-hv-621-hangvalto-2-utas-200-w-hv-621-3038")</f>
        <v>0.0</v>
      </c>
      <c r="E1584" s="7" t="n">
        <f>HYPERLINK("https://www.somogyi.hu/data/img/product_main_images/small/03038.jpg","https://www.somogyi.hu/data/img/product_main_images/small/03038.jpg")</f>
        <v>0.0</v>
      </c>
      <c r="F1584" s="2" t="inlineStr">
        <is>
          <t>5998312733622</t>
        </is>
      </c>
      <c r="G1584" s="4" t="inlineStr">
        <is>
          <t>200 W teljesítményű, aranyozott sorkapcsokkal ellátott hangváltó! A HV 621 igazán praktikus autó-hifi kiegészítő, amely garantálja a remek hangzást! Levágási meredeksége 6 dB / oktáv, vágási frekvenciája 2500 Hz. Válassza a minőségi termékeket és rendeljen webáruházunkból.</t>
        </is>
      </c>
    </row>
    <row r="1585">
      <c r="A1585" s="6" t="inlineStr">
        <is>
          <t xml:space="preserve">   Hangtechnika / Rádió</t>
        </is>
      </c>
      <c r="B1585" s="6" t="inlineStr">
        <is>
          <t/>
        </is>
      </c>
      <c r="C1585" s="6" t="inlineStr">
        <is>
          <t/>
        </is>
      </c>
      <c r="D1585" s="6" t="inlineStr">
        <is>
          <t/>
        </is>
      </c>
      <c r="E1585" s="6" t="inlineStr">
        <is>
          <t/>
        </is>
      </c>
      <c r="F1585" s="6" t="inlineStr">
        <is>
          <t/>
        </is>
      </c>
      <c r="G1585" s="6" t="inlineStr">
        <is>
          <t/>
        </is>
      </c>
    </row>
    <row r="1586">
      <c r="A1586" s="3" t="inlineStr">
        <is>
          <t>INR 5000/BK</t>
        </is>
      </c>
      <c r="B1586" s="2" t="inlineStr">
        <is>
          <t>SAL INR 5000/BK internetrádió, 5 in 1, 2x5 W, Bass reflex, világrádió, FM RDS, BT, AUX, Média Center hálózati zenetár, EQ</t>
        </is>
      </c>
      <c r="C1586" s="1" t="n">
        <v>50390.0</v>
      </c>
      <c r="D1586" s="7" t="n">
        <f>HYPERLINK("https://www.somogyi.hu/product/sal-inr-5000-bk-internetradio-5-in-1-2x5-w-bass-reflex-vilagradio-fm-rds-bt-aux-media-center-halozati-zenetar-eq-inr-5000-bk-17033","https://www.somogyi.hu/product/sal-inr-5000-bk-internetradio-5-in-1-2x5-w-bass-reflex-vilagradio-fm-rds-bt-aux-media-center-halozati-zenetar-eq-inr-5000-bk-17033")</f>
        <v>0.0</v>
      </c>
      <c r="E1586" s="7" t="n">
        <f>HYPERLINK("https://www.somogyi.hu/data/img/product_main_images/small/17033.jpg","https://www.somogyi.hu/data/img/product_main_images/small/17033.jpg")</f>
        <v>0.0</v>
      </c>
      <c r="F1586" s="2" t="inlineStr">
        <is>
          <t>5999084950651</t>
        </is>
      </c>
      <c r="G1586" s="4" t="inlineStr">
        <is>
          <t>Az INR 5000/BK Internetrádió 5 az 1-ben funkciójával számos otthon elengedhetetlen eszköze. Alkalmas a hagyományos és az internetes állomásokhoz is. 
A vezeték nélküli BT kapcsolattal akár mobiltelefonjáról is lejátszhatja a zenéket. 
AUX bemenettel ellátott, mobiltelefonok, PC, multimédiához, valamint LINE OUT kimenettel, így akár aktív hangdobozokkal és erősítőkkel is összekapcsolható. A 2x 5 W bass- reflex HiFi hangzás kiváló hangminőséget biztosít A 6,1 cm színes TFT LCD képernyőn jól láthatóak a kívánt beállítások.
A nagyobb kényelem érdekében a rádiót távolról is vezérelheti a csomagban található távirányító segítségével.</t>
        </is>
      </c>
    </row>
    <row r="1587">
      <c r="A1587" s="3" t="inlineStr">
        <is>
          <t>RPH 1</t>
        </is>
      </c>
      <c r="B1587" s="2" t="inlineStr">
        <is>
          <t>SAL RPH 1 napelemes rádió és multimédia lejátszó, hibrid töltés, 3 sávos AM-FM-SW rádió, USB/MicroSD, ~11 óra üzemidő</t>
        </is>
      </c>
      <c r="C1587" s="1" t="n">
        <v>7190.0</v>
      </c>
      <c r="D1587" s="7" t="n">
        <f>HYPERLINK("https://www.somogyi.hu/product/sal-rph-1-napelemes-radio-es-multimedia-lejatszo-hibrid-toltes-3-savos-am-fm-sw-radio-usb-microsd-11-ora-uzemido-rph-1-18253","https://www.somogyi.hu/product/sal-rph-1-napelemes-radio-es-multimedia-lejatszo-hibrid-toltes-3-savos-am-fm-sw-radio-usb-microsd-11-ora-uzemido-rph-1-18253")</f>
        <v>0.0</v>
      </c>
      <c r="E1587" s="7" t="n">
        <f>HYPERLINK("https://www.somogyi.hu/data/img/product_main_images/small/18253.jpg","https://www.somogyi.hu/data/img/product_main_images/small/18253.jpg")</f>
        <v>0.0</v>
      </c>
      <c r="F1587" s="2" t="inlineStr">
        <is>
          <t>5999084962753</t>
        </is>
      </c>
      <c r="G1587" s="4" t="inlineStr">
        <is>
          <t xml:space="preserve"> • hullámsáv: AM / FM / SW 
 • kiemelt jellemző: nem kell elem hozzá • hibrid töltés: napelemmel vagy USB vezetékkel 
 • vezeték nélküli BT kapcsolat: v5.0 / TWS / max.10 m • Bluetooth 2.402-2.480 GHz ERP ≤2.5 mW 
 • csatlakoztatható eszköz: USB/microSD (FAT32, max.32 GB)  
 • lejátszható formátumok: MP3 / WMA / WAV 
 • zenelejátszó funkciók: lejátszás, szünet, léptetés, gyorskeresés 
 • LED üzemmódjelző: töltésjelző LED 
 • hangszóróátmérő: Ø57 mm 
 • töltési idő: ~2.5 h 
 • frekvenciaátvitel: 280 - 18.000 Hz 
 • tápellátás: cserélhető 18650 akkumulátor 
 • fülhallgatócsatlakozó: Ø3,5 mm, jack (mono) 
 • méret: készülék: 140 x 77 x 50 mm / napelem: 105 x 45 mm 
 • súly: 270 g 
 • üzemidő: ~11 h 
 • tartozék: USB töltőkábel, csuklópánt 
 • opcionális kiegészítők: hálózati töltő: SA 24USB (külön megvásárolható) 
 • frekvencia tartomány: 280 - 18.000 Hz</t>
        </is>
      </c>
    </row>
    <row r="1588">
      <c r="A1588" s="3" t="inlineStr">
        <is>
          <t>RPH 2</t>
        </is>
      </c>
      <c r="B1588" s="2" t="inlineStr">
        <is>
          <t>SAL RPH 2 multifunkciós napelemes rádió, hibrid töltés, 3 sávos AM-FM-SW rádió, BT, ~40 óra üzemidő</t>
        </is>
      </c>
      <c r="C1588" s="1" t="n">
        <v>21390.0</v>
      </c>
      <c r="D1588" s="7" t="n">
        <f>HYPERLINK("https://www.somogyi.hu/product/sal-rph-2-multifunkcios-napelemes-radio-hibrid-toltes-3-savos-am-fm-sw-radio-bt-40-ora-uzemido-rph-2-18259","https://www.somogyi.hu/product/sal-rph-2-multifunkcios-napelemes-radio-hibrid-toltes-3-savos-am-fm-sw-radio-bt-40-ora-uzemido-rph-2-18259")</f>
        <v>0.0</v>
      </c>
      <c r="E1588" s="7" t="n">
        <f>HYPERLINK("https://www.somogyi.hu/data/img/product_main_images/small/18259.jpg","https://www.somogyi.hu/data/img/product_main_images/small/18259.jpg")</f>
        <v>0.0</v>
      </c>
      <c r="F1588" s="2" t="inlineStr">
        <is>
          <t>5999084962814</t>
        </is>
      </c>
      <c r="G1588" s="4" t="inlineStr">
        <is>
          <t xml:space="preserve"> • hullámsáv: AM / FM / WB 
 • kiemelt jellemző: nem kell elem hozzá • hibrid töltés: napelemmel vagy forgatókarral vagy USB vezetékkel 
 • vezeték nélküli BT kapcsolat: v5.0 / max.10 m • Bluetooth 2.402-2.480 GHz ERP ≤2.5 mW 
 • funkciók: hidegfényű reflektor • melegfényű olvasólámpa • USB töltő kimenet mobilkészülékhez • SOS riasztó sziréna pánikhelyzet esetére 
 • csatlakoztatható eszköz: USB/microSD (FAT32, max.64 GB)  
 • lejátszható formátumok: MP3 
 • zenelejátszó funkciók: lejátszás, szünet, léptetés, gyorskeresés 
 • LED üzemmódjelző: töltésjelző LED és a töltöttségi szint jelzése 
 • töltési idő: USB: ~3h 
 • frekvenciaátvitel: 300 - 20.000 Hz 
 • tápellátás: beépített akkumulátor 
 • fülhallgatócsatlakozó: Ø3,5 mm, jack (mono) 
 • méret: 160 x 80 x 66 mm 
 • súly: 400 g 
 • üzemidő: rádió üzemidő: ~40h 
 • tartozék: USB-C töltőkábel 
 • opcionális kiegészítők: hálózati töltő: SA 24USB (külön megvásárolható)</t>
        </is>
      </c>
    </row>
    <row r="1589">
      <c r="A1589" s="3" t="inlineStr">
        <is>
          <t>INR 3000</t>
        </is>
      </c>
      <c r="B1589" s="2" t="inlineStr">
        <is>
          <t>SAL INR 3000 internetrádió, 4 in 1, 2 W hangszóró, világrádió, FM RDS, BT, Média Center hálózati zenetár, EQ</t>
        </is>
      </c>
      <c r="C1589" s="1" t="n">
        <v>24690.0</v>
      </c>
      <c r="D1589" s="7" t="n">
        <f>HYPERLINK("https://www.somogyi.hu/product/sal-inr-3000-internetradio-4-in-1-2-w-hangszoro-vilagradio-fm-rds-bt-media-center-halozati-zenetar-eq-inr-3000-17521","https://www.somogyi.hu/product/sal-inr-3000-internetradio-4-in-1-2-w-hangszoro-vilagradio-fm-rds-bt-media-center-halozati-zenetar-eq-inr-3000-17521")</f>
        <v>0.0</v>
      </c>
      <c r="E1589" s="7" t="n">
        <f>HYPERLINK("https://www.somogyi.hu/data/img/product_main_images/small/17521.jpg","https://www.somogyi.hu/data/img/product_main_images/small/17521.jpg")</f>
        <v>0.0</v>
      </c>
      <c r="F1589" s="2" t="inlineStr">
        <is>
          <t>5999084955434</t>
        </is>
      </c>
      <c r="G1589" s="4" t="inlineStr">
        <is>
          <t>Az INR 3000 Internetrádió 4 az 1-ben funkcióval számos otthon elengedhetetlen eszköze. Alkalmas a hagyományos és az internetes állomásokhoz. A 6,1 cm színes TFT LCD képernyőn jól láthatóak a kívánt beállítások. Egyszerűen kezelhető PC vagy mobil böngészőből. A nagyobb élmény eléréséhez akár aktív hangdobozokhoz vagy erősítőkhöz is csatlakoztatható. 
Számos hasznos tulajdonsággal rendelkezik, mint
A vezeték nélküli BT kapcsolattal akár mobiltelefonjáról is lejátszhatja a zenéket.</t>
        </is>
      </c>
    </row>
    <row r="1590">
      <c r="A1590" s="3" t="inlineStr">
        <is>
          <t>RPC 4</t>
        </is>
      </c>
      <c r="B1590" s="2" t="inlineStr">
        <is>
          <t>SAL RPC 4 zsebrádió, 2 sávos AM-FM rádió, nagyérzékenységű vétel, AUX</t>
        </is>
      </c>
      <c r="C1590" s="1" t="n">
        <v>4490.0</v>
      </c>
      <c r="D1590" s="7" t="n">
        <f>HYPERLINK("https://www.somogyi.hu/product/sal-rpc-4-zsebradio-2-savos-am-fm-radio-nagyerzekenysegu-vetel-aux-rpc-4-17091","https://www.somogyi.hu/product/sal-rpc-4-zsebradio-2-savos-am-fm-radio-nagyerzekenysegu-vetel-aux-rpc-4-17091")</f>
        <v>0.0</v>
      </c>
      <c r="E1590" s="7" t="n">
        <f>HYPERLINK("https://www.somogyi.hu/data/img/product_main_images/small/17091.jpg","https://www.somogyi.hu/data/img/product_main_images/small/17091.jpg")</f>
        <v>0.0</v>
      </c>
      <c r="F1590" s="2" t="inlineStr">
        <is>
          <t>5999084951238</t>
        </is>
      </c>
      <c r="G1590" s="4" t="inlineStr">
        <is>
          <t>Hallgassa mindennap az RPC 4 ezüst színű, 2 sávos FM-AM zsebrádiót! A nagyérzékenységű vételnek köszönhetően a legjobb minőségben élvezheti a rádióműsorokat. Csatlakoztasson fejhallgatót a zavartalan rádiózás élményéért! A tápellátásához 2 darab AA (1,5 V) elem szükségesek, amelyek nem tartozékok a csomagolásban. A kompakt méretei (69 x 118 x 30 mm) lehetővé teszik, hogy könnyedén magával vigye bárhová, legyen szó utazásról, kirándulásról, vagy csak egyszerűen mindennapi tevékenységekről. Válassza az RPC 4 zsebrádiót, és élvezze a kedvenc rádióműsorait bárhol és bármikor!</t>
        </is>
      </c>
    </row>
    <row r="1591">
      <c r="A1591" s="3" t="inlineStr">
        <is>
          <t>RPC 3</t>
        </is>
      </c>
      <c r="B1591" s="2" t="inlineStr">
        <is>
          <t>SAL RPC 3 zsebrádió, 2 sávos AM-FM rádió, AUX</t>
        </is>
      </c>
      <c r="C1591" s="1" t="n">
        <v>4990.0</v>
      </c>
      <c r="D1591" s="7" t="n">
        <f>HYPERLINK("https://www.somogyi.hu/product/sal-rpc-3-zsebradio-2-savos-am-fm-radio-aux-rpc-3-16911","https://www.somogyi.hu/product/sal-rpc-3-zsebradio-2-savos-am-fm-radio-aux-rpc-3-16911")</f>
        <v>0.0</v>
      </c>
      <c r="E1591" s="7" t="n">
        <f>HYPERLINK("https://www.somogyi.hu/data/img/product_main_images/small/16911.jpg","https://www.somogyi.hu/data/img/product_main_images/small/16911.jpg")</f>
        <v>0.0</v>
      </c>
      <c r="F1591" s="2" t="inlineStr">
        <is>
          <t>5999084949433</t>
        </is>
      </c>
      <c r="G1591" s="4" t="inlineStr">
        <is>
          <t>Az RPC 3 Zsebrádió kompakt, masszív kivitelben készült, így bárhová magával viheti, de akár otthonában is használhatja. Ha csak rádiót szeretne hallgatni, fölösleges nagyobb és bonyolultabb készülékeket megvásárolnia. A táskarádió kétsávos AM-FM rádióműsor vételére képes. 3,5 mm átmérőjű fülhallgató csatlakozó aljzattal ellátott. 
Üzemeléséhez 2 x AA (1,5 V) elem szükséges, melyet a csomag nem tartalmaz.</t>
        </is>
      </c>
    </row>
    <row r="1592">
      <c r="A1592" s="3" t="inlineStr">
        <is>
          <t>RPR 8</t>
        </is>
      </c>
      <c r="B1592" s="2" t="inlineStr">
        <is>
          <t>SAL RPR 8 táskarádió, AC/DC, 3 sávos AM-FM-SW rádió, AUX</t>
        </is>
      </c>
      <c r="C1592" s="1" t="n">
        <v>9190.0</v>
      </c>
      <c r="D1592" s="7" t="n">
        <f>HYPERLINK("https://www.somogyi.hu/product/sal-rpr-8-taskaradio-ac-dc-3-savos-am-fm-sw-radio-aux-rpr-8-18252","https://www.somogyi.hu/product/sal-rpr-8-taskaradio-ac-dc-3-savos-am-fm-sw-radio-aux-rpr-8-18252")</f>
        <v>0.0</v>
      </c>
      <c r="E1592" s="7" t="n">
        <f>HYPERLINK("https://www.somogyi.hu/data/img/product_main_images/small/18252.jpg","https://www.somogyi.hu/data/img/product_main_images/small/18252.jpg")</f>
        <v>0.0</v>
      </c>
      <c r="F1592" s="2" t="inlineStr">
        <is>
          <t>5999084962746</t>
        </is>
      </c>
      <c r="G1592" s="4" t="inlineStr">
        <is>
          <t xml:space="preserve"> • hullámsáv: AM / FM / SW 
 • kiemelt jellemző: érzékeny rádióvétel • nagy hangerő, egyszerű kezelhetőség • kompakt, masszív, hordozható kivitel 
 • hangszóróátmérő: ∅89 mm (3.5”) 
 • tápellátás: hálózati csatlakozókábel (tartozék), vagy 2xD/LR20 elem (nem tartozék), vagy DC 5V külső táplálás (pl. "power bank" -- nem tartozék) 
 • fülhallgatócsatlakozó: ∅3,5 mm, mono 
 • méret: 210 x 115/153 x 70 mm 
 • súly: 560 g 
 • frekvencia tartomány: 250 - 19.000 Hz</t>
        </is>
      </c>
    </row>
    <row r="1593">
      <c r="A1593" s="3" t="inlineStr">
        <is>
          <t>RPR 3LCD</t>
        </is>
      </c>
      <c r="B1593" s="2" t="inlineStr">
        <is>
          <t>SAL RPR 3LCD táskarádió, AC/DC, AM_FM_SW digitális rádió, ébresztő, AUX, 60 tárolható állomás</t>
        </is>
      </c>
      <c r="C1593" s="1" t="n">
        <v>15890.0</v>
      </c>
      <c r="D1593" s="7" t="n">
        <f>HYPERLINK("https://www.somogyi.hu/product/sal-rpr-3lcd-taskaradio-ac-dc-am-fm-sw-digitalis-radio-ebreszto-aux-60-tarolhato-allomas-rpr-3lcd-16184","https://www.somogyi.hu/product/sal-rpr-3lcd-taskaradio-ac-dc-am-fm-sw-digitalis-radio-ebreszto-aux-60-tarolhato-allomas-rpr-3lcd-16184")</f>
        <v>0.0</v>
      </c>
      <c r="E1593" s="7" t="n">
        <f>HYPERLINK("https://www.somogyi.hu/data/img/product_main_images/small/16184.jpg","https://www.somogyi.hu/data/img/product_main_images/small/16184.jpg")</f>
        <v>0.0</v>
      </c>
      <c r="F1593" s="2" t="inlineStr">
        <is>
          <t>5999084942168</t>
        </is>
      </c>
      <c r="G1593" s="4" t="inlineStr">
        <is>
          <t>Az RPR 3LCD táskarádió kompakt, modern kivitelben készült, így bárhová megával viheti, de akár otthonában is használhatja. Ébresztő funkcióval ellátott, így a rádió bekapcsolásával vagy bip-bip hanggal jelez a beállított időben, melyet 5 percenként megismétel. A táskarádió AM-FM-SW digitális rádióműsor vételére képes és 60 rádióállomást tud tárolni. A kijelzőjén kék háttérvilágítással az aktuális idő látható. A készüléket fejhallgatóval is hallgathatja a 3,5 mm átmérőjű csatlakozó aljzatnak köszönhetően. 
Felhasználóbarát kialakítása által gyorsgombokkal ellátott, hogy kedvenc funkcióit kiemelhesse. A rádió billentyűzete lezárható, így véletlenül sem állítódik el, ha a táskájába helyezi. 
Üzemeltetheti a tartozék hálózati kábellel vagy 3 db 1,5 V (D) elemmel (nem tartozék).</t>
        </is>
      </c>
    </row>
    <row r="1594">
      <c r="A1594" s="6" t="inlineStr">
        <is>
          <t xml:space="preserve">   Hangtechnika / Hangdoboz</t>
        </is>
      </c>
      <c r="B1594" s="6" t="inlineStr">
        <is>
          <t/>
        </is>
      </c>
      <c r="C1594" s="6" t="inlineStr">
        <is>
          <t/>
        </is>
      </c>
      <c r="D1594" s="6" t="inlineStr">
        <is>
          <t/>
        </is>
      </c>
      <c r="E1594" s="6" t="inlineStr">
        <is>
          <t/>
        </is>
      </c>
      <c r="F1594" s="6" t="inlineStr">
        <is>
          <t/>
        </is>
      </c>
      <c r="G1594" s="6" t="inlineStr">
        <is>
          <t/>
        </is>
      </c>
    </row>
    <row r="1595">
      <c r="A1595" s="3" t="inlineStr">
        <is>
          <t>BXB 100/8</t>
        </is>
      </c>
      <c r="B1595" s="2" t="inlineStr">
        <is>
          <t>SAL BXB 100/8, 2 utas hangdoboz, 2 in 1, 60 W / 8 Ohm, 40 W / 100 V, Bass reflex, billenthető, forgatható</t>
        </is>
      </c>
      <c r="C1595" s="1" t="n">
        <v>26590.0</v>
      </c>
      <c r="D1595" s="7" t="n">
        <f>HYPERLINK("https://www.somogyi.hu/product/sal-bxb-100-8-2-utas-hangdoboz-2-in-1-60-w-8-ohm-40-w-100-v-bass-reflex-billentheto-forgathato-bxb-100-8-17126","https://www.somogyi.hu/product/sal-bxb-100-8-2-utas-hangdoboz-2-in-1-60-w-8-ohm-40-w-100-v-bass-reflex-billentheto-forgathato-bxb-100-8-17126")</f>
        <v>0.0</v>
      </c>
      <c r="E1595" s="7" t="n">
        <f>HYPERLINK("https://www.somogyi.hu/data/img/product_main_images/small/17126.jpg","https://www.somogyi.hu/data/img/product_main_images/small/17126.jpg")</f>
        <v>0.0</v>
      </c>
      <c r="F1595" s="2" t="inlineStr">
        <is>
          <t>5999084951580</t>
        </is>
      </c>
      <c r="G1595" s="4" t="inlineStr">
        <is>
          <t xml:space="preserve"> • hangdoboz kialakítása: 2 utas bassz-reflex 
 • teljesítmény: 60 W 
 • frekvenciaátvitel: 45 - 20000 Hz 
 • hangszóróátmérő: mélyközép sugárzó: 165 mm PC • magassugárzó: 25 mm selyem dóm 
 • hangszóró impedancia: 8 Ohm 
 • anyaga: merevített ABS műanyag, fém védőrács 
 • méret: 200 x 285 x 190 mm / 2,9 kg</t>
        </is>
      </c>
    </row>
    <row r="1596">
      <c r="A1596" s="3" t="inlineStr">
        <is>
          <t>BXB 10050P</t>
        </is>
      </c>
      <c r="B1596" s="2" t="inlineStr">
        <is>
          <t>SAL BXB 10050P sztereó hangdoboz pár, 2x60 W / 8 Ohm, 3 utas Bass reflex, eltávolítható tartókonzol</t>
        </is>
      </c>
      <c r="C1596" s="1" t="n">
        <v>20790.0</v>
      </c>
      <c r="D1596" s="7" t="n">
        <f>HYPERLINK("https://www.somogyi.hu/product/sal-bxb-10050p-sztereo-hangdoboz-par-2x60-w-8-ohm-3-utas-bass-reflex-eltavolithato-tartokonzol-bxb-10050p-4539","https://www.somogyi.hu/product/sal-bxb-10050p-sztereo-hangdoboz-par-2x60-w-8-ohm-3-utas-bass-reflex-eltavolithato-tartokonzol-bxb-10050p-4539")</f>
        <v>0.0</v>
      </c>
      <c r="E1596" s="7" t="n">
        <f>HYPERLINK("https://www.somogyi.hu/data/img/product_main_images/small/04539.jpg","https://www.somogyi.hu/data/img/product_main_images/small/04539.jpg")</f>
        <v>0.0</v>
      </c>
      <c r="F1596" s="2" t="inlineStr">
        <is>
          <t>5998312739976</t>
        </is>
      </c>
      <c r="G1596" s="4" t="inlineStr">
        <is>
          <t xml:space="preserve"> • hangdoboz kialakítása: 3 utas bass-reflex doboz 
 • teljesítmény: 120 W (2 x 60 W / 8 Ohm) 
 • frekvenciaátvitel: 55 - 20000 Hz 
 • hangszóróátmérő: mély: 4” PP (100 mm), 
 •  közép:2” MYLAR (50 mm), 
 •  magas:1,0” PIEZO (25mm) 
 • hangszóró impedancia: 4-8 Ohm 
 • anyaga: merevített ABS műanyag, fém védőrács 
 • méret: 140 x 210 x 120 mm 
 • egységcsomag: pár</t>
        </is>
      </c>
    </row>
    <row r="1597">
      <c r="A1597" s="6" t="inlineStr">
        <is>
          <t xml:space="preserve">   Hangtechnika / Hifi középsugárzó, mélysugárzó, dómsugárzó</t>
        </is>
      </c>
      <c r="B1597" s="6" t="inlineStr">
        <is>
          <t/>
        </is>
      </c>
      <c r="C1597" s="6" t="inlineStr">
        <is>
          <t/>
        </is>
      </c>
      <c r="D1597" s="6" t="inlineStr">
        <is>
          <t/>
        </is>
      </c>
      <c r="E1597" s="6" t="inlineStr">
        <is>
          <t/>
        </is>
      </c>
      <c r="F1597" s="6" t="inlineStr">
        <is>
          <t/>
        </is>
      </c>
      <c r="G1597" s="6" t="inlineStr">
        <is>
          <t/>
        </is>
      </c>
    </row>
    <row r="1598">
      <c r="A1598" s="3" t="inlineStr">
        <is>
          <t>SKN 13</t>
        </is>
      </c>
      <c r="B1598" s="2" t="inlineStr">
        <is>
          <t>SAL SKN 13 középsugárzó, 50 W, zárt kosár, merev és impregnált kónusz, 136 mm</t>
        </is>
      </c>
      <c r="C1598" s="1" t="n">
        <v>3990.0</v>
      </c>
      <c r="D1598" s="7" t="n">
        <f>HYPERLINK("https://www.somogyi.hu/product/sal-skn-13-kozepsugarzo-50-w-zart-kosar-merev-es-impregnalt-konusz-136-mm-skn-13-8712","https://www.somogyi.hu/product/sal-skn-13-kozepsugarzo-50-w-zart-kosar-merev-es-impregnalt-konusz-136-mm-skn-13-8712")</f>
        <v>0.0</v>
      </c>
      <c r="E1598" s="7" t="n">
        <f>HYPERLINK("https://www.somogyi.hu/data/img/product_main_images/small/08712.jpg","https://www.somogyi.hu/data/img/product_main_images/small/08712.jpg")</f>
        <v>0.0</v>
      </c>
      <c r="F1598" s="2" t="inlineStr">
        <is>
          <t>5998312775967</t>
        </is>
      </c>
      <c r="G1598" s="4" t="inlineStr">
        <is>
          <t>Alakítsa ki Ön is otthonában az ideális zenei hangzást! Az SKN 13 egy professzionális, zárt kosárral ellátott beépíthető középsugárzó.  A merevített impregnált papír kónusszal ellátott készülék zenei teljesítménye 50/40 W, frekvencia-átvitele 400 – 7.000 Hz tartományba esik, míg érzékenysége: 86 dB. 
A termék előnye, hogy nem igényel a hangdobozból légmentesen leválasztott légteret. Válassza a minőségi termékeket és rendeljen webáruházunkból.</t>
        </is>
      </c>
    </row>
    <row r="1599">
      <c r="A1599" s="3" t="inlineStr">
        <is>
          <t>SBX 1010/BK</t>
        </is>
      </c>
      <c r="B1599" s="2" t="inlineStr">
        <is>
          <t>SAL SBX 1010/BK mélyközépsugárzó, 50 W, alumínium csévetest, 2 rétegű hangtekercs, 10 Oz mágnes</t>
        </is>
      </c>
      <c r="C1599" s="1" t="n">
        <v>5190.0</v>
      </c>
      <c r="D1599" s="7" t="n">
        <f>HYPERLINK("https://www.somogyi.hu/product/sal-sbx-1010-bk-melykozepsugarzo-50-w-aluminium-csevetest-2-retegu-hangtekercs-10-oz-magnes-sbx-1010-bk-8803","https://www.somogyi.hu/product/sal-sbx-1010-bk-melykozepsugarzo-50-w-aluminium-csevetest-2-retegu-hangtekercs-10-oz-magnes-sbx-1010-bk-8803")</f>
        <v>0.0</v>
      </c>
      <c r="E1599" s="7" t="n">
        <f>HYPERLINK("https://www.somogyi.hu/data/img/product_main_images/small/08803.jpg","https://www.somogyi.hu/data/img/product_main_images/small/08803.jpg")</f>
        <v>0.0</v>
      </c>
      <c r="F1599" s="2" t="inlineStr">
        <is>
          <t>5998312776858</t>
        </is>
      </c>
      <c r="G1599" s="4" t="inlineStr">
        <is>
          <t>Ha Ön is rajong az egyedi hangsugárzókért, akkor garantáltan nem fog csalódni ebben a profi kialakítású mélyközépsugárzóban!
A SBX 1010/BK teljesítménye: 50/35 W, míg érzékenysége: 82 dB, így garantáltan nem lesz panasza hangerőre! A 100 mm-es átmérőjű mélyközépsugárzó fekete kevlár kónusszal rendelkezik. Válassza a minőségi termékeket és rendeljen webáruházunkból.</t>
        </is>
      </c>
    </row>
    <row r="1600">
      <c r="A1600" s="3" t="inlineStr">
        <is>
          <t>SBX 1320/BK</t>
        </is>
      </c>
      <c r="B1600" s="2" t="inlineStr">
        <is>
          <t>SAL SBX 1320/BK mélyközépsugárzó, 60 W, alumínium csévetest, 4 rétegű hangtekercs, 20 Oz mágnes</t>
        </is>
      </c>
      <c r="C1600" s="1" t="n">
        <v>6390.0</v>
      </c>
      <c r="D1600" s="7" t="n">
        <f>HYPERLINK("https://www.somogyi.hu/product/sal-sbx-1320-bk-melykozepsugarzo-60-w-aluminium-csevetest-4-retegu-hangtekercs-20-oz-magnes-sbx-1320-bk-8804","https://www.somogyi.hu/product/sal-sbx-1320-bk-melykozepsugarzo-60-w-aluminium-csevetest-4-retegu-hangtekercs-20-oz-magnes-sbx-1320-bk-8804")</f>
        <v>0.0</v>
      </c>
      <c r="E1600" s="7" t="n">
        <f>HYPERLINK("https://www.somogyi.hu/data/img/product_main_images/small/08804.jpg","https://www.somogyi.hu/data/img/product_main_images/small/08804.jpg")</f>
        <v>0.0</v>
      </c>
      <c r="F1600" s="2" t="inlineStr">
        <is>
          <t>5998312776865</t>
        </is>
      </c>
      <c r="G1600" s="4" t="inlineStr">
        <is>
          <t>Ha rajong a zenéért, akkor garantáltan nem fog csalódni ebben a minőségi beépíthető hangsugárzóban!
Az SBX 1320/BK teljesítménye: 60/40 W, míg érzékenysége: 85 dB, így garantáltan nem lesz panasza hangerőre! 
A 130 mm-es átmérővel rendelkező mélyközépsugárzó alumínium csévetesttel rendelkezik.  Válassza a minőségi termékeket és rendeljen webáruházunkból.</t>
        </is>
      </c>
    </row>
    <row r="1601">
      <c r="A1601" s="3" t="inlineStr">
        <is>
          <t>SBX 1620/BK</t>
        </is>
      </c>
      <c r="B1601" s="2" t="inlineStr">
        <is>
          <t>SAL SBX 1620/BK mélysugárzó, 80 W, alumínium csévetest, 4 rétegű hangtekercs, 20 Oz mágnes</t>
        </is>
      </c>
      <c r="C1601" s="1" t="n">
        <v>9590.0</v>
      </c>
      <c r="D1601" s="7" t="n">
        <f>HYPERLINK("https://www.somogyi.hu/product/sal-sbx-1620-bk-melysugarzo-80-w-aluminium-csevetest-4-retegu-hangtekercs-20-oz-magnes-sbx-1620-bk-8805","https://www.somogyi.hu/product/sal-sbx-1620-bk-melysugarzo-80-w-aluminium-csevetest-4-retegu-hangtekercs-20-oz-magnes-sbx-1620-bk-8805")</f>
        <v>0.0</v>
      </c>
      <c r="E1601" s="7" t="n">
        <f>HYPERLINK("https://www.somogyi.hu/data/img/product_main_images/small/08805.jpg","https://www.somogyi.hu/data/img/product_main_images/small/08805.jpg")</f>
        <v>0.0</v>
      </c>
      <c r="F1601" s="2" t="inlineStr">
        <is>
          <t>5998312776872</t>
        </is>
      </c>
      <c r="G1601" s="4" t="inlineStr">
        <is>
          <t>Teremtse meg Ön is az ideális hangzást ezzel a profi mélysugárzóval!
Az SBX 1620/BK teljesítménye: 80/50 W, míg érzékenysége: 87 dB, így garantáltan nem lesz panasza hangerőre! A termék előnye, hogy egy hosszú élettartamú alumínium csévetest alkotja a mélysugárzó fő szerkezetét. Átmérője 167 mm. Válassza a minőségi termékeket és rendeljen webáruházunkból.</t>
        </is>
      </c>
    </row>
    <row r="1602">
      <c r="A1602" s="3" t="inlineStr">
        <is>
          <t>SBV 2020/4</t>
        </is>
      </c>
      <c r="B1602" s="2" t="inlineStr">
        <is>
          <t>SAL SBV 2020/4 mélysugárzó, 80 W, alumínium csévetest, 2 rétegű hangtekercs, 20 Oz mágnes</t>
        </is>
      </c>
      <c r="C1602" s="1" t="n">
        <v>8290.0</v>
      </c>
      <c r="D1602" s="7" t="n">
        <f>HYPERLINK("https://www.somogyi.hu/product/sal-sbv-2020-4-melysugarzo-80-w-aluminium-csevetest-2-retegu-hangtekercs-20-oz-magnes-sbv-2020-4-3141","https://www.somogyi.hu/product/sal-sbv-2020-4-melysugarzo-80-w-aluminium-csevetest-2-retegu-hangtekercs-20-oz-magnes-sbv-2020-4-3141")</f>
        <v>0.0</v>
      </c>
      <c r="E1602" s="7" t="n">
        <f>HYPERLINK("https://www.somogyi.hu/data/img/product_main_images/small/03141.jpg","https://www.somogyi.hu/data/img/product_main_images/small/03141.jpg")</f>
        <v>0.0</v>
      </c>
      <c r="F1602" s="2" t="inlineStr">
        <is>
          <t>5998312734650</t>
        </is>
      </c>
      <c r="G1602" s="4" t="inlineStr">
        <is>
          <t>Az SBV 2020/4 beépíthető mélysugárzó alkalmas VIDEOTON hangdobozok javításához, valamint az egyéb régebbi típusú hangfalakba illő hangszórók cseréjére egyaránt.
Az impregnált papír kónusszal ellátott készülék zenei teljesítménye 80/100 W, frekvencia-átvitele 45 - 5.000 Hz tartományba esik, míg érzékenysége: 86 dB. 
Az alumíniumból készült csévetest megfelelő hűtést biztosít. Előnye továbbá, hogy kompatibilis az elöregedett, már cserére érett gyári típusú hangsugárzókkal. 
A mélysugárzó átmérője: 200 mm. Válassza a minőségi termékeket és rendeljen webáruházunkból.</t>
        </is>
      </c>
    </row>
    <row r="1603">
      <c r="A1603" s="3" t="inlineStr">
        <is>
          <t>SBX 2530/BK</t>
        </is>
      </c>
      <c r="B1603" s="2" t="inlineStr">
        <is>
          <t>SAL SBX 2530/BK mélysugárzó, 150 W, alumínium csévetest, 4 rétegű hangtekercs, 30 Oz mágnes</t>
        </is>
      </c>
      <c r="C1603" s="1" t="n">
        <v>17990.0</v>
      </c>
      <c r="D1603" s="7" t="n">
        <f>HYPERLINK("https://www.somogyi.hu/product/sal-sbx-2530-bk-melysugarzo-150-w-aluminium-csevetest-4-retegu-hangtekercs-30-oz-magnes-sbx-2530-bk-8807","https://www.somogyi.hu/product/sal-sbx-2530-bk-melysugarzo-150-w-aluminium-csevetest-4-retegu-hangtekercs-30-oz-magnes-sbx-2530-bk-8807")</f>
        <v>0.0</v>
      </c>
      <c r="E1603" s="7" t="n">
        <f>HYPERLINK("https://www.somogyi.hu/data/img/product_main_images/small/08807.jpg","https://www.somogyi.hu/data/img/product_main_images/small/08807.jpg")</f>
        <v>0.0</v>
      </c>
      <c r="F1603" s="2" t="inlineStr">
        <is>
          <t>5998312776896</t>
        </is>
      </c>
      <c r="G1603" s="4" t="inlineStr">
        <is>
          <t>Ha Ön is igazán minőségi hangzást szeretne elérni, akkor bátran keresse a beépíthető SBX 2530/BK mélysugárzót.
A készülék zenei teljesítménye 120/80 W, frekvencia-átvitele 30 – 2.500 Hz tartományba esik, míg érzékenysége: 90 dB. 
A hangsugárzó alumíniumból készült csévetestje megfelelő tartást biztosít, valamint speciális fonatú szövettel borított és gumi peremmel lett ellátva. A mélysugárzó átmérője: 254 mm. Válassza a minőségi termékeket és rendeljen webáruházunkból.</t>
        </is>
      </c>
    </row>
    <row r="1604">
      <c r="A1604" s="3" t="inlineStr">
        <is>
          <t>SBV 2020</t>
        </is>
      </c>
      <c r="B1604" s="2" t="inlineStr">
        <is>
          <t>SAL SBV 2020 mélysugárzó, 80 W, alumínium csévetest, 2 rétegű hangtekercs, 20 Oz mágnes</t>
        </is>
      </c>
      <c r="C1604" s="1" t="n">
        <v>8290.0</v>
      </c>
      <c r="D1604" s="7" t="n">
        <f>HYPERLINK("https://www.somogyi.hu/product/sal-sbv-2020-melysugarzo-80-w-aluminium-csevetest-2-retegu-hangtekercs-20-oz-magnes-sbv-2020-3050","https://www.somogyi.hu/product/sal-sbv-2020-melysugarzo-80-w-aluminium-csevetest-2-retegu-hangtekercs-20-oz-magnes-sbv-2020-3050")</f>
        <v>0.0</v>
      </c>
      <c r="E1604" s="7" t="n">
        <f>HYPERLINK("https://www.somogyi.hu/data/img/product_main_images/small/03050.jpg","https://www.somogyi.hu/data/img/product_main_images/small/03050.jpg")</f>
        <v>0.0</v>
      </c>
      <c r="F1604" s="2" t="inlineStr">
        <is>
          <t>5998312733745</t>
        </is>
      </c>
      <c r="G1604" s="4" t="inlineStr">
        <is>
          <t>Az SBV 2020 beépíthető mélysugárzó alkalmas VIDEOTON hangdobozok javításához, valamint az egyéb régebbi típusú hangfalakba illő hangszórók cseréjére egyaránt.
Az impregnált papír kónusszal ellátott készülék zenei teljesítménye 80/50 W, frekvencia-átvitele 45 - 5.000 Hz tartományba esik, míg érzékenysége: 85 dB. 
Az alumíniumból készült csévetest megfelelő tartást biztosít. Előnye továbbá, hogy kompatibilis az elöregedett, már cserére érett gyári típusú hangsugárzókkal. 
A mélysugárzó átmérője: 200 mm. Válassza a minőségi termékeket és rendeljen webáruházunkból.</t>
        </is>
      </c>
    </row>
    <row r="1605">
      <c r="A1605" s="3" t="inlineStr">
        <is>
          <t>DTF 12</t>
        </is>
      </c>
      <c r="B1605" s="2" t="inlineStr">
        <is>
          <t>SAL DFT 12 HIFI dómsugárzó, 100 W, 8 Ohm, selyem membrán, 2 rétegű tekercs, 8 Oz mágnes</t>
        </is>
      </c>
      <c r="C1605" s="1" t="n">
        <v>4090.0</v>
      </c>
      <c r="D1605" s="7" t="n">
        <f>HYPERLINK("https://www.somogyi.hu/product/sal-dft-12-hifi-domsugarzo-100-w-8-ohm-selyem-membran-2-retegu-tekercs-8-oz-magnes-dtf-12-2656","https://www.somogyi.hu/product/sal-dft-12-hifi-domsugarzo-100-w-8-ohm-selyem-membran-2-retegu-tekercs-8-oz-magnes-dtf-12-2656")</f>
        <v>0.0</v>
      </c>
      <c r="E1605" s="7" t="n">
        <f>HYPERLINK("https://www.somogyi.hu/data/img/product_main_images/small/02656.jpg","https://www.somogyi.hu/data/img/product_main_images/small/02656.jpg")</f>
        <v>0.0</v>
      </c>
      <c r="F1605" s="2" t="inlineStr">
        <is>
          <t>5998312729762</t>
        </is>
      </c>
      <c r="G1605" s="4" t="inlineStr">
        <is>
          <t>Építse fel otthonában az igényeinek megfelelő egyedi hangzású HI-FI berendezést! A DT F 12 egy masszív kialakítással rendelkező dómsugárzó, amelynek zenei teljesítménye 100/50 W, frekvencia-átvitele 2.000 – 21.000 Hz tartományba esik, míg érzékenysége: 91 dB. Átmérője: 103 mm. A mágnes súlya 8,0 Oz. Válassza a minőségi termékeket és rendeljen webáruházunkból.</t>
        </is>
      </c>
    </row>
    <row r="1606">
      <c r="A1606" s="3" t="inlineStr">
        <is>
          <t>SKN 16</t>
        </is>
      </c>
      <c r="B1606" s="2" t="inlineStr">
        <is>
          <t>SAL SKN 16 középsugárzó, 60 W, zárt kosár, merev és impregnált kónusz, 176 mm</t>
        </is>
      </c>
      <c r="C1606" s="1" t="n">
        <v>5690.0</v>
      </c>
      <c r="D1606" s="7" t="n">
        <f>HYPERLINK("https://www.somogyi.hu/product/sal-skn-16-kozepsugarzo-60-w-zart-kosar-merev-es-impregnalt-konusz-176-mm-skn-16-8713","https://www.somogyi.hu/product/sal-skn-16-kozepsugarzo-60-w-zart-kosar-merev-es-impregnalt-konusz-176-mm-skn-16-8713")</f>
        <v>0.0</v>
      </c>
      <c r="E1606" s="7" t="n">
        <f>HYPERLINK("https://www.somogyi.hu/data/img/product_main_images/small/08713.jpg","https://www.somogyi.hu/data/img/product_main_images/small/08713.jpg")</f>
        <v>0.0</v>
      </c>
      <c r="F1606" s="2" t="inlineStr">
        <is>
          <t>5998312775974</t>
        </is>
      </c>
      <c r="G1606" s="4" t="inlineStr">
        <is>
          <t>Alakítsa ki Ön is otthonában az ideális zenei hangzást! Az SKN 16 egy professzionális, zárt kosárral ellátott beépíthető középsugárzó.  A merevített impregnált papír kónusszal ellátott készülék zenei teljesítménye 60/40 W, frekvencia-átvitele 300 – 6.000 Hz tartományba esik, míg érzékenysége: 88 dB. 
A termék előnye, hogy nem igényel a hangdobozból légmentesen leválasztott légteret. Válassza a minőségi termékeket és rendeljen webáruházunkból.</t>
        </is>
      </c>
    </row>
    <row r="1607">
      <c r="A1607" s="3" t="inlineStr">
        <is>
          <t>SKN 10</t>
        </is>
      </c>
      <c r="B1607" s="2" t="inlineStr">
        <is>
          <t>SAL SKN 10 középsugárzó, 40 W, zárt kosár, merev és impregnált kónusz, 110 mm</t>
        </is>
      </c>
      <c r="C1607" s="1" t="n">
        <v>3290.0</v>
      </c>
      <c r="D1607" s="7" t="n">
        <f>HYPERLINK("https://www.somogyi.hu/product/sal-skn-10-kozepsugarzo-40-w-zart-kosar-merev-es-impregnalt-konusz-110-mm-skn-10-8711","https://www.somogyi.hu/product/sal-skn-10-kozepsugarzo-40-w-zart-kosar-merev-es-impregnalt-konusz-110-mm-skn-10-8711")</f>
        <v>0.0</v>
      </c>
      <c r="E1607" s="7" t="n">
        <f>HYPERLINK("https://www.somogyi.hu/data/img/product_main_images/small/08711.jpg","https://www.somogyi.hu/data/img/product_main_images/small/08711.jpg")</f>
        <v>0.0</v>
      </c>
      <c r="F1607" s="2" t="inlineStr">
        <is>
          <t>5998312775950</t>
        </is>
      </c>
      <c r="G1607" s="4" t="inlineStr">
        <is>
          <t>Alakítsa ki Ön is otthonában az ideális zenei hangzást! Az SKN 10 egy professzionális, zárt kosárral ellátott beépíthető középsugárzó.  A merevített impregnált papír kónusszal ellátott készülék zenei teljesítménye 40/30 W, frekvencia-átvitele 500 – 8.500 Hz tartományba esik, míg érzékenysége: 84 dB. 
A termék előnye, hogy nem igényel a hangdobozból légmentesen leválasztott légteret. Válassza a minőségi termékeket és rendeljen webáruházunkból.</t>
        </is>
      </c>
    </row>
    <row r="1608">
      <c r="A1608" s="3" t="inlineStr">
        <is>
          <t>SBX 2030/BK</t>
        </is>
      </c>
      <c r="B1608" s="2" t="inlineStr">
        <is>
          <t>SAL SBX 2030/BK mélysugárzó, 120 W, alumínium csévetest, 4 rétegű hangtekercs, 30 Oz mágnes</t>
        </is>
      </c>
      <c r="C1608" s="1" t="n">
        <v>16190.0</v>
      </c>
      <c r="D1608" s="7" t="n">
        <f>HYPERLINK("https://www.somogyi.hu/product/sal-sbx-2030-bk-melysugarzo-120-w-aluminium-csevetest-4-retegu-hangtekercs-30-oz-magnes-sbx-2030-bk-8806","https://www.somogyi.hu/product/sal-sbx-2030-bk-melysugarzo-120-w-aluminium-csevetest-4-retegu-hangtekercs-30-oz-magnes-sbx-2030-bk-8806")</f>
        <v>0.0</v>
      </c>
      <c r="E1608" s="7" t="n">
        <f>HYPERLINK("https://www.somogyi.hu/data/img/product_main_images/small/08806.jpg","https://www.somogyi.hu/data/img/product_main_images/small/08806.jpg")</f>
        <v>0.0</v>
      </c>
      <c r="F1608" s="2" t="inlineStr">
        <is>
          <t>5998312776889</t>
        </is>
      </c>
      <c r="G1608" s="4" t="inlineStr">
        <is>
          <t>Ha Ön is igazán egyedi hangzásra vágyik, akkor bátran keresse a SBX 2030/BK mélysugárzót.
A készülék zenei teljesítménye 120/80 W, frekvencia-átvitele 35 – 3.000 Hz tartományba esik, míg érzékenysége: 88 dB. 
A hangsugárzó alumíniumból készült csévetestje megfelelő tartást biztosít, így garantáltan nem lesz panasza rá. A mélysugárzó átmérője: 204 mm. Válassza a minőségi termékeket és rendeljen webáruházunkból.</t>
        </is>
      </c>
    </row>
    <row r="1609">
      <c r="A1609" s="3" t="inlineStr">
        <is>
          <t>DT 21</t>
        </is>
      </c>
      <c r="B1609" s="2" t="inlineStr">
        <is>
          <t>SAL DT 21 dómsugárzó, 40 W, 8 Ohm, mylar membrán, 2x0,6 Oz mágnes</t>
        </is>
      </c>
      <c r="C1609" s="1" t="n">
        <v>1350.0</v>
      </c>
      <c r="D1609" s="7" t="n">
        <f>HYPERLINK("https://www.somogyi.hu/product/sal-dt-21-domsugarzo-40-w-8-ohm-mylar-membran-2x0-6-oz-magnes-dt-21-16208","https://www.somogyi.hu/product/sal-dt-21-domsugarzo-40-w-8-ohm-mylar-membran-2x0-6-oz-magnes-dt-21-16208")</f>
        <v>0.0</v>
      </c>
      <c r="E1609" s="7" t="n">
        <f>HYPERLINK("https://www.somogyi.hu/data/img/product_main_images/small/16208.jpg","https://www.somogyi.hu/data/img/product_main_images/small/16208.jpg")</f>
        <v>0.0</v>
      </c>
      <c r="F1609" s="2" t="inlineStr">
        <is>
          <t>5999084942403</t>
        </is>
      </c>
      <c r="G1609" s="4" t="inlineStr">
        <is>
          <t>A DT 21 Dómsugárzó masszív kialakítású, melynek zenei teljesítménye 40/ 20 W, frekvencia átvitele 3.000-21.000 Hz tartományba esik, míg érzékenysége 91 dB. Átmérője: 74 mm/ 8 Ohm. A mágnes súlya 2x0,6 Oz. A kónusz mylar alapanyagból készült.
Építse fel otthonában az igényeinek megfelelő egyedi hangzású HI-FI berendezést!</t>
        </is>
      </c>
    </row>
    <row r="1610">
      <c r="A1610" s="6" t="inlineStr">
        <is>
          <t xml:space="preserve">   Hangtechnika / Multimédia készülék</t>
        </is>
      </c>
      <c r="B1610" s="6" t="inlineStr">
        <is>
          <t/>
        </is>
      </c>
      <c r="C1610" s="6" t="inlineStr">
        <is>
          <t/>
        </is>
      </c>
      <c r="D1610" s="6" t="inlineStr">
        <is>
          <t/>
        </is>
      </c>
      <c r="E1610" s="6" t="inlineStr">
        <is>
          <t/>
        </is>
      </c>
      <c r="F1610" s="6" t="inlineStr">
        <is>
          <t/>
        </is>
      </c>
      <c r="G1610" s="6" t="inlineStr">
        <is>
          <t/>
        </is>
      </c>
    </row>
    <row r="1611">
      <c r="A1611" s="3" t="inlineStr">
        <is>
          <t>BT DOG</t>
        </is>
      </c>
      <c r="B1611" s="2" t="inlineStr">
        <is>
          <t>SAL BT DOG hordozható multimédia-hangszóró, 5 W, BT, FM rádió, ~5 óra üzemidő, USB, MicroSD</t>
        </is>
      </c>
      <c r="C1611" s="1" t="n">
        <v>9190.0</v>
      </c>
      <c r="D1611" s="7" t="n">
        <f>HYPERLINK("https://www.somogyi.hu/product/sal-bt-dog-hordozhato-multimedia-hangszoro-5-w-bt-fm-radio-5-ora-uzemido-usb-microsd-bt-dog-17724","https://www.somogyi.hu/product/sal-bt-dog-hordozhato-multimedia-hangszoro-5-w-bt-fm-radio-5-ora-uzemido-usb-microsd-bt-dog-17724")</f>
        <v>0.0</v>
      </c>
      <c r="E1611" s="7" t="n">
        <f>HYPERLINK("https://www.somogyi.hu/data/img/product_main_images/small/17724.jpg","https://www.somogyi.hu/data/img/product_main_images/small/17724.jpg")</f>
        <v>0.0</v>
      </c>
      <c r="F1611" s="2" t="inlineStr">
        <is>
          <t>5999084957469</t>
        </is>
      </c>
      <c r="G1611" s="4" t="inlineStr">
        <is>
          <t>Ön is szeretne egy szokatlan, stílusos kiegészítőt a nappalijába vagy irodájába? Fedezze fel a SAL BT DOG hordozható multimédia-hangszórót, amely nemcsak praktikus, hanem dekoratív elem is lehet otthonában!
Ez a különleges kialakítású multimédia-hangszóró, amelynek feje elfordítható, garantáltan feldobja a hangulatot bármilyen környezetben. Kompakt mérete ellenére viszonylag erős, 5 wattos hangkimenettel rendelkezik, így tökéletesen alkalmas kedvenc dalainak megszólaltatására. A vezeték nélküli Bluetooth kapcsolat révén egyszerűen összekapcsolható bármely okoseszközzel, így zenehallgatás közben sem kell messze lennie a telefonjától.
A beépített FM rádió automatikus kereséssel és az USB/microSD kártyaolvasó funkciók révén a SAL BT DOG sokoldalú szórakoztatást nyújt, legyen szó rádióműsorról vagy saját playlist lejátszásáról. A beépített 18650-es akkumulátor akár 5 órás folyamatos működést is biztosíthat egyetlen töltéssel, ami körülbelül 3 óráig tart.
Tartozék USB-microUSB töltőkábellel könnyedén tölthető számítógépről vagy hálózati adapterről, melyet külön kell megvásárolni. Bár ez a termék nem játék, és nem ajánlott gyermek számára, minden zene- és technológia szerető felnőtt számára ideális választás lehet.
Vigye haza a SAL BT DOG multimédia-hangszórót, és hozzon egy kis extrát a mindennapokba! Hallgassa kedvenc zenéit stílusosan, ahol csak szeretné!</t>
        </is>
      </c>
    </row>
    <row r="1612">
      <c r="A1612" s="3" t="inlineStr">
        <is>
          <t>RRT 2B</t>
        </is>
      </c>
      <c r="B1612" s="2" t="inlineStr">
        <is>
          <t>SAL RRT 2B retro táskarádió, multimédia lejátszó, 4 in 1, BT, USB/MicroSD, FM rádió, AUX, ~20 óra üzemidő</t>
        </is>
      </c>
      <c r="C1612" s="1" t="n">
        <v>18290.0</v>
      </c>
      <c r="D1612" s="7" t="n">
        <f>HYPERLINK("https://www.somogyi.hu/product/sal-rrt-2b-retro-taskaradio-multimedia-lejatszo-4-in-1-bt-usb-microsd-fm-radio-aux-20-ora-uzemido-rrt-2b-16427","https://www.somogyi.hu/product/sal-rrt-2b-retro-taskaradio-multimedia-lejatszo-4-in-1-bt-usb-microsd-fm-radio-aux-20-ora-uzemido-rrt-2b-16427")</f>
        <v>0.0</v>
      </c>
      <c r="E1612" s="7" t="n">
        <f>HYPERLINK("https://www.somogyi.hu/data/img/product_main_images/small/16427.jpg","https://www.somogyi.hu/data/img/product_main_images/small/16427.jpg")</f>
        <v>0.0</v>
      </c>
      <c r="F1612" s="2" t="inlineStr">
        <is>
          <t>5999084944599</t>
        </is>
      </c>
      <c r="G1612" s="4" t="inlineStr">
        <is>
          <t>Szeretne egy minden igényt kielégítő, stílusos táskarádiót, amely mindenhova elkíséri Önt? A SAL RRT 2B retro táskarádió a tökéletes választás azok számára, akik a retró dizájnt modern technológiai jellemzőkkel szeretnék ötvözni. 
Ez a 4 az 1-ben multifunkcionális eszköz nem csupán a hagyományos rádióadásokat teszi elérhetővé AM, FM és SW sávokon, hanem vezeték nélküli Bluetooth kapcsolaton keresztül mobilkészülékről vagy számítógépről is lejátszhatja kedvenc zenéit. Az integrált Bluetooth funkció lehetővé teszi a mobiltelefon zenelejátszójának vezérlését, míg az USB és microSD eszközökön tárolt MP3 fájlok lejátszásával még több lehetőség nyílik meg Ön előtt a zenehallgatás terén. Az AUX bemeneten keresztül pedig további audio eszközöket is csatlakoztathat. A SAL RRT 2B kiemelkedik rendkívül hosszú, akár 20 órás üzemidejével egyetlen töltéssel.
A táskarádió sokoldalú tápellátása - amely magában foglalja a tartozék hálózati kábelt a töltéshez, a beépített akkumulátort, valamint az opcionális 3 x 1,5 V (D / LR20) elemet vagy 18650 típusú akkumulátort - biztosítja, hogy sosem kell aggódnia az eszköz lemerülése miatt, legyen szó hosszú utazásokról, kempingezésről vagy a kertben töltött estékről.
Tegye a mindennapokat különlegessé a SAL RRT 2B retro táskarádióval, amely nem csak zenei élményt, hanem egy stílusos kiegészítőt is nyújt az Ön életében.</t>
        </is>
      </c>
    </row>
    <row r="1613">
      <c r="A1613" s="3" t="inlineStr">
        <is>
          <t>RPR 7B</t>
        </is>
      </c>
      <c r="B1613" s="2" t="inlineStr">
        <is>
          <t>SAL RPR 7B táskarádió, AC/DC, 4 in 1, BT, USB, MicroSD, AM-FM-SW1-SW2 rádió, AUX, ~18 óra üzemidő</t>
        </is>
      </c>
      <c r="C1613" s="1" t="n">
        <v>14390.0</v>
      </c>
      <c r="D1613" s="7" t="n">
        <f>HYPERLINK("https://www.somogyi.hu/product/sal-rpr-7b-taskaradio-ac-dc-4-in-1-bt-usb-microsd-am-fm-sw1-sw2-radio-aux-18-ora-uzemido-rpr-7b-17093","https://www.somogyi.hu/product/sal-rpr-7b-taskaradio-ac-dc-4-in-1-bt-usb-microsd-am-fm-sw1-sw2-radio-aux-18-ora-uzemido-rpr-7b-17093")</f>
        <v>0.0</v>
      </c>
      <c r="E1613" s="7" t="n">
        <f>HYPERLINK("https://www.somogyi.hu/data/img/product_main_images/small/17093.jpg","https://www.somogyi.hu/data/img/product_main_images/small/17093.jpg")</f>
        <v>0.0</v>
      </c>
      <c r="F1613" s="2" t="inlineStr">
        <is>
          <t>5999084951252</t>
        </is>
      </c>
      <c r="G1613" s="4" t="inlineStr">
        <is>
          <t>Hallgassa mindennap az egyedülálló funkciókkal rendelkező RPR 7B táskarádiót! A készülék vezeték nélküli BT, USB, microSD lejátszó és rádió funkciók kombinációja, így biztosítva a teljes körű zenei élményt. A rádiót könnyedén összekapcsolhatja mobiltelefonjával vagy számítógépével, sőt még a mobiltelefon zenelejátszóját is tudja vezérelni, így kedvére váltogathat a dalok között. Az RPR 7B táskarádió támogatja az MP3/WAV/WMA formátumokat, és lehetővé teszi az USB vagy microSD eszközről történő zenelejátszást is. Ez a sokoldalúság lehetővé teszi, hogy a kedvenc zenéit mindig magával vigye, és bármikor hallgathassa azokat. A táskarádió 4 sávos,  AM-FM-SW1-SW2 frekvenciasávokkal rendelkezik. Hálózatról, akkumulátorról és elemről (nem tartozék) is működtethető. Akár 18 órányi zenehallgatást biztosít egyetlen töltéssel. Csatlakoztasson hozzá fejhallgatót a zavartalan rádiózás élményéért! Válassza az RPR 7B táskarádiót, és élvezze a zenei élményt bárhol és bármikor!</t>
        </is>
      </c>
    </row>
    <row r="1614">
      <c r="A1614" s="3" t="inlineStr">
        <is>
          <t>RRT 3B</t>
        </is>
      </c>
      <c r="B1614" s="2" t="inlineStr">
        <is>
          <t>SAL RRT 3B retro táskarádió, multimédia lejátszó, BT, USB/MicroSD, AUX, Rádió, ~12 óra üzemidő</t>
        </is>
      </c>
      <c r="C1614" s="1" t="n">
        <v>21390.0</v>
      </c>
      <c r="D1614" s="7" t="n">
        <f>HYPERLINK("https://www.somogyi.hu/product/sal-rrt-3b-retro-taskaradio-multimedia-lejatszo-bt-usb-microsd-aux-radio-12-ora-uzemido-rrt-3b-15096","https://www.somogyi.hu/product/sal-rrt-3b-retro-taskaradio-multimedia-lejatszo-bt-usb-microsd-aux-radio-12-ora-uzemido-rrt-3b-15096")</f>
        <v>0.0</v>
      </c>
      <c r="E1614" s="7" t="n">
        <f>HYPERLINK("https://www.somogyi.hu/data/img/product_main_images/small/15096.jpg","https://www.somogyi.hu/data/img/product_main_images/small/15096.jpg")</f>
        <v>0.0</v>
      </c>
      <c r="F1614" s="2" t="inlineStr">
        <is>
          <t>5999084931308</t>
        </is>
      </c>
      <c r="G1614" s="4" t="inlineStr">
        <is>
          <t>Szeretne egy táskarádiót, amely tökéletesen ötvözi a retró stílust a modern technológia előnyeivel? A SAL RRT 3B retro táskarádióval nem kell kompromisszumot kötnie. 
Ez a 4 az 1-ben eszköz Bluetooth kapcsolaton keresztül lehetővé teszi kedvenc zenéi vezeték nélküli streamelését mobilkészülékről vagy számítógépről, sztereó hangzásban.
Az USB, SD és microSD eszközökről történő MP3 lejátszás mellett az AUX bemeneten keresztüli vezetékes audio csatlakoztatás is rendelkezésre áll, így bármilyen zenei forrást könnyedén kapcsolhat hozzá. A 3 sávos AM, FM és SW rádió kiváló vételi lehetőségeket kínál, legyen szó bármilyen zenei ízlésről vagy hírek hallgatásáról. A hangerőt jelző 2 x 5 LED és a hangbemondás a funkcióváltáskor növeli a felhasználói élményt és kényelmet.
A klasszikus fa hangdoboz nem csupán esztétikai élményt nyújt, hanem a hangminőséget is fokozza, míg a praktikus hordfülnek köszönhetően a rádiót bárhová magával viheti. A sokoldalú tápellátás – beleértve a beépített akkumulátort és a tartozék hálózati kábelt – biztosítja, hogy a zene soha ne álljon le, akár 12 órán át tartó üzemidővel.
A SAL RRT 3B retro táskarádióval minden helyzetben stílusosan és zökkenőmentesen élvezheti a zenét. Fedezze fel újra a zenehallgatás örömét ezzel a kivételes táskarádióval, amely minden generáció számára tökéletes választás!</t>
        </is>
      </c>
    </row>
    <row r="1615">
      <c r="A1615" s="3" t="inlineStr">
        <is>
          <t>BT 1000</t>
        </is>
      </c>
      <c r="B1615" s="2" t="inlineStr">
        <is>
          <t>SAL BT 1000 hordozható bluetooth kihangosító, boombox, FM rádió, USB, microSD, beépített mikrofon, RGB LED, ~4 óra üzemidő</t>
        </is>
      </c>
      <c r="C1615" s="1" t="n">
        <v>8390.0</v>
      </c>
      <c r="D1615" s="7" t="n">
        <f>HYPERLINK("https://www.somogyi.hu/product/sal-bt-1000-hordozhato-bluetooth-kihangosito-boombox-fm-radio-usb-microsd-beepitett-mikrofon-rgb-led-4-ora-uzemido-bt-1000-18185","https://www.somogyi.hu/product/sal-bt-1000-hordozhato-bluetooth-kihangosito-boombox-fm-radio-usb-microsd-beepitett-mikrofon-rgb-led-4-ora-uzemido-bt-1000-18185")</f>
        <v>0.0</v>
      </c>
      <c r="E1615" s="7" t="n">
        <f>HYPERLINK("https://www.somogyi.hu/data/img/product_main_images/small/18185.jpg","https://www.somogyi.hu/data/img/product_main_images/small/18185.jpg")</f>
        <v>0.0</v>
      </c>
      <c r="F1615" s="2" t="inlineStr">
        <is>
          <t>5999084962074</t>
        </is>
      </c>
      <c r="G1615" s="4" t="inlineStr">
        <is>
          <t xml:space="preserve"> • frekvenciaátvitel: 250 - 19.000 Hz 
 • szín: szürke 
 • színváltó LED hangulatvilágítás: van (kikapcsolható) 
 • kimenőteljesítmény: 5 W 
 • vezeték nélküli BT kapcsolat: v5.0 / max.10 m • Bluetooth 2.402-2.480 GHz ERP ≤2.5 mW 
 • FM rádió: automatikus állomáskereséssel, tárolással 
 • lejátszható formátumok: MP3 
 • csatlakoztatható memória: USB / micro SD (FAT32, max.32 GB) 
 • sztereo térhatás: vezeték nélküli BT TWS kapcsolat: dupla hangerő és kiterjesztett stereo élmény: két azonos Boom-Box vezeték nélkül párosítható 
 • XTRA BASS: 1x passive Sub-Bass 
 • mobilkészülék zenelejátszójának távvezérlése: igen 
 • beépített  mikrofon: van 
 • telefonbeszélgetés kihangosítása: van 
 • hangbemondás üzemmódváltáskor: angol nyelven 
 • beépített akkumulátor: Li-ion 18650 / 3,7 V / ~1800 mAh 
 • működési / töltési idő: várható töltési / üzemidő: ~4 h / ~15 h 
 • tartozék: USB-C töltőkábel 
 • tápellátás: beépített akkumulátor automatikus töltéssel 
 • méret: 110 x 131 x 110 mm 
 • súly: 0,52 kg 
 • opcionális kiegészítők: javasolt töltők: SA 24USB, SA 50USB 
 • tulajdonság: exkluziv, textil bevonatú burkolat</t>
        </is>
      </c>
    </row>
    <row r="1616">
      <c r="A1616" s="3" t="inlineStr">
        <is>
          <t>RRT 12B</t>
        </is>
      </c>
      <c r="B1616" s="2" t="inlineStr">
        <is>
          <t>SAL RRT 12B lemezlejátszó, multimédia lejátszó, 3 féle fordulatszám, kerámia hangszedő, BT, FM rádió, AUX, USB/MicroSD, EQ</t>
        </is>
      </c>
      <c r="C1616" s="1" t="n">
        <v>36290.0</v>
      </c>
      <c r="D1616" s="7" t="n">
        <f>HYPERLINK("https://www.somogyi.hu/product/sal-rrt-12b-lemezlejatszo-multimedia-lejatszo-3-fele-fordulatszam-keramia-hangszedo-bt-fm-radio-aux-usb-microsd-eq-rrt-12b-16577","https://www.somogyi.hu/product/sal-rrt-12b-lemezlejatszo-multimedia-lejatszo-3-fele-fordulatszam-keramia-hangszedo-bt-fm-radio-aux-usb-microsd-eq-rrt-12b-16577")</f>
        <v>0.0</v>
      </c>
      <c r="E1616" s="7" t="n">
        <f>HYPERLINK("https://www.somogyi.hu/data/img/product_main_images/small/16577.jpg","https://www.somogyi.hu/data/img/product_main_images/small/16577.jpg")</f>
        <v>0.0</v>
      </c>
      <c r="F1616" s="2" t="inlineStr">
        <is>
          <t>5999084946098</t>
        </is>
      </c>
      <c r="G1616" s="4" t="inlineStr">
        <is>
          <t>Gondolkodott már azon, hogyan eleveníthetné fel kedvenc régi lemezeit modern technológia segítségével? A SAL RRT 12B lemezlejátszó és multimédia lejátszó a tökéletes választás azok számára, akik a régi idők zenéjét szeretnék újraélvezni a mai digitális világban.
Ez a sokoldalú készülék vezeték nélküli Bluetooth kapcsolaton keresztül teszi lehetővé a zenehallgatást mobilkészülékekről vagy számítógépekről, miközben MP3/WMA formátumú fájlokat játszhat le USB vagy microSD eszközökről.
Az FM rádió automatikus állomáskereséssel és tárolási lehetőséggel, valamint a WAV formátumban történő felvételi funkcióval, lehetővé teszi a régi analóg hanganyagok, mint például a hanglemezek, kazetták, VHS vagy DVD-k archiválását és digitalizálását. A készülék félautomata lemezjátszóval rendelkezik, 33/45/78 fordulatszámmal, karlifttel és kikapcsolható AUTO-STOP funkcióval, biztosítva a lemezek kíméletes kezelését.
A SAL RRT 12B klasszikus fa burkolata, beépített erősítővel és két hangszóróval, nemcsak minőségi hangzást biztosít, hanem elegáns kiegészítője lehet otthonának. A szett tartalmaz egy központosító gyűrűt és pót-tűket a lemezjátszóhoz, valamint egy USB adaptert eltávolítható csatlakozókábellel az egyszerű tápellátáshoz.
Fedezze fel a zenei múltat és a jelen digitális lehetőségeit a SAL RRT 12B lemezlejátszóval, ami elegáns kiegészítője lehet otthonának és híd a múlt zenei élményei és a jelen technológiája között.</t>
        </is>
      </c>
    </row>
    <row r="1617">
      <c r="A1617" s="3" t="inlineStr">
        <is>
          <t>BT 5000</t>
        </is>
      </c>
      <c r="B1617" s="2" t="inlineStr">
        <is>
          <t>SAL BT 5000 hordozható bluetooth kihangosító, 2 x 25 W, sztereó boombox, FM rádió, USB, microSD, beépített mikrofon, RGB LED, ~30 óra üzemidő</t>
        </is>
      </c>
      <c r="C1617" s="1" t="n">
        <v>26690.0</v>
      </c>
      <c r="D1617" s="7" t="n">
        <f>HYPERLINK("https://www.somogyi.hu/product/sal-bt-5000-hordozhato-bluetooth-kihangosito-2-x-25-w-sztereo-boombox-fm-radio-usb-microsd-beepitett-mikrofon-rgb-led-30-ora-uzemido-bt-5000-17556","https://www.somogyi.hu/product/sal-bt-5000-hordozhato-bluetooth-kihangosito-2-x-25-w-sztereo-boombox-fm-radio-usb-microsd-beepitett-mikrofon-rgb-led-30-ora-uzemido-bt-5000-17556")</f>
        <v>0.0</v>
      </c>
      <c r="E1617" s="7" t="n">
        <f>HYPERLINK("https://www.somogyi.hu/data/img/product_main_images/small/17556.jpg","https://www.somogyi.hu/data/img/product_main_images/small/17556.jpg")</f>
        <v>0.0</v>
      </c>
      <c r="F1617" s="2" t="inlineStr">
        <is>
          <t>5999084955786</t>
        </is>
      </c>
      <c r="G1617" s="4" t="inlineStr">
        <is>
          <t>A BT 5000 Hordozható Boom- box elengedhetetlen eszköze a mai otthonoknak. Hordozható kivitele által nem csak otthon élvezheti az erőteljes térhatású hangzást. 
Nagyteljesítményű 2x 25 W-os stereo erősítővel ellátott, így dupla hangerő és kiterjesztett stereo élményt nyújt. Ha még nagyobb hangerőt szeretne, akkor két azonos Boom- Boxot párosíthat vezeték nélkül. A beépített mikrofon által egyszerűen hívást is tud fogadni a készülékkel. Ha nincs kéznél saját zenelistája, akkor az FM rádió használatával sem marad dallamok nélkül. 
Kialakításánál nagy figyelmet fordítottak a külső megjelenésre is, a mélysugárzó RGB LED megvilágítással és a textil bevonattal ellátott. A nyomógombok a markolat alján találhatóak, így hordozás közben könnyedén kapcsolható.</t>
        </is>
      </c>
    </row>
    <row r="1618">
      <c r="A1618" s="3" t="inlineStr">
        <is>
          <t>RRT 11B</t>
        </is>
      </c>
      <c r="B1618" s="2" t="inlineStr">
        <is>
          <t>SAL RRT 11B retro kazettás rádió, multimédia lejátszó, kazettás magnó, beépített mikrofon, hangrögzítés, AUX, USB/MicroSD</t>
        </is>
      </c>
      <c r="C1618" s="1" t="n">
        <v>18290.0</v>
      </c>
      <c r="D1618" s="7" t="n">
        <f>HYPERLINK("https://www.somogyi.hu/product/sal-rrt-11b-retro-kazettas-radio-multimedia-lejatszo-kazettas-magno-beepitett-mikrofon-hangrogzites-aux-usb-microsd-rrt-11b-15765","https://www.somogyi.hu/product/sal-rrt-11b-retro-kazettas-radio-multimedia-lejatszo-kazettas-magno-beepitett-mikrofon-hangrogzites-aux-usb-microsd-rrt-11b-15765")</f>
        <v>0.0</v>
      </c>
      <c r="E1618" s="7" t="n">
        <f>HYPERLINK("https://www.somogyi.hu/data/img/product_main_images/small/15765.jpg","https://www.somogyi.hu/data/img/product_main_images/small/15765.jpg")</f>
        <v>0.0</v>
      </c>
      <c r="F1618" s="2" t="inlineStr">
        <is>
          <t>5999084937997</t>
        </is>
      </c>
      <c r="G1618" s="4" t="inlineStr">
        <is>
          <t>Az RRT 11B Retro kazettás rádió és multimédiás lejátszó klasszikus formavilágot követ. Retro külsejével a lakás dekorációja lesz, de hordfülének köszönhetően magával viheti kempingezéshez vagy nyaralójába. Üzemeltethető a hozzá tartozó hálózati kábellel, vagy 4 db 1,5 V (D/LR20) elemmel (nem tartozék) vagy külső 6 v-os adapterrel (nem tartozék). 
A kazettás rádió 11 sávos világvevő AM-FM-SW rádióműsor vételére képes. A kettős forgatógomb segítségével végezheti a finomhangolásokat. A készülék MP3/WMA lejátszást is biztosít USB/SD eszközről, valamint minden elérhető jelforrás felvételét kazettára vagy USB/ SD eszközre. Mindkét esetben rögzítheti a beépített mikrofon vagy a rádió hangját. Digitalizálva archiválhatja régi magnókazettáit MP3 formátumban USB vagy SD eszközre. 
Hasznos tulajdonsága még, hogy beépített mikrofonnal, fejhallgató csatlakozóval (3,5mm) és auto-stop funkcióval ellátott.</t>
        </is>
      </c>
    </row>
    <row r="1619">
      <c r="A1619" s="3" t="inlineStr">
        <is>
          <t>SAL 250BT</t>
        </is>
      </c>
      <c r="B1619" s="2" t="inlineStr">
        <is>
          <t>SAL, SAL 250 BT multimédiás hangdobozpár, 2 x 120 W, 3 utas Bass-reflex, BT, USB, SD, FM, 2 x RCA, 2 x 6,3mm jack, EQ</t>
        </is>
      </c>
      <c r="C1619" s="1" t="n">
        <v>124990.0</v>
      </c>
      <c r="D1619" s="7" t="n">
        <f>HYPERLINK("https://www.somogyi.hu/product/sal-sal-250-bt-multimedias-hangdobozpar-2-x-120-w-3-utas-bass-reflex-bt-usb-sd-fm-2-x-rca-2-x-6-3mm-jack-eq-sal-250bt-17911","https://www.somogyi.hu/product/sal-sal-250-bt-multimedias-hangdobozpar-2-x-120-w-3-utas-bass-reflex-bt-usb-sd-fm-2-x-rca-2-x-6-3mm-jack-eq-sal-250bt-17911")</f>
        <v>0.0</v>
      </c>
      <c r="E1619" s="7" t="n">
        <f>HYPERLINK("https://www.somogyi.hu/data/img/product_main_images/small/17911.jpg","https://www.somogyi.hu/data/img/product_main_images/small/17911.jpg")</f>
        <v>0.0</v>
      </c>
      <c r="F1619" s="2" t="inlineStr">
        <is>
          <t>5999084959333</t>
        </is>
      </c>
      <c r="G1619" s="4" t="inlineStr">
        <is>
          <t xml:space="preserve"> • hangszóró: mély: Ø250 mm • közép: Ø110 mm • magas: Ø40 mm  
 • frekvenciaátvitel: 30 - 20.000 Hz 
 • szín: fekete 
 • hangdoboz kialakítása: 3 utas bassz-reflex 
 • digitális kijelző: van 
 • kimenőteljesítmény: 2 x 120 W / 100 W  (zenei / névleges) 
 • vezeték nélküli BT kapcsolat: Bluetooth 2.402-2.480 GHz ERP ≤2.5 mW (max.10 m) 
 • FM rádió: automatikus és manuális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 a LED kijelző fényereje beállítható • időzíthető, automatikus kikapcsolás • klasszikus, masszív MDF fa konstrukció • hangdobozok közötti vezeték hossza: ~250 cm 
 • méret: 140 x 900 x 350 mm / db 
 • súly: 12,8 kg   9,8 kg</t>
        </is>
      </c>
    </row>
    <row r="1620">
      <c r="A1620" s="3" t="inlineStr">
        <is>
          <t>BTA 215</t>
        </is>
      </c>
      <c r="B1620" s="2" t="inlineStr">
        <is>
          <t>SAL BTA 215 vezeték nélküli BT erősítő, 2x15 W / 4 Ohm, 2x10 W / 8 Ohm, 20 Hz - 20.000 Hz</t>
        </is>
      </c>
      <c r="C1620" s="1" t="n">
        <v>18590.0</v>
      </c>
      <c r="D1620" s="7" t="n">
        <f>HYPERLINK("https://www.somogyi.hu/product/sal-bta-215-vezetek-nelkuli-bt-erosito-2x15-w-4-ohm-2x10-w-8-ohm-20-hz-20-000-hz-bta-215-17856","https://www.somogyi.hu/product/sal-bta-215-vezetek-nelkuli-bt-erosito-2x15-w-4-ohm-2x10-w-8-ohm-20-hz-20-000-hz-bta-215-17856")</f>
        <v>0.0</v>
      </c>
      <c r="E1620" s="7" t="n">
        <f>HYPERLINK("https://www.somogyi.hu/data/img/product_main_images/small/17856.jpg","https://www.somogyi.hu/data/img/product_main_images/small/17856.jpg")</f>
        <v>0.0</v>
      </c>
      <c r="F1620" s="2" t="inlineStr">
        <is>
          <t>5999084958787</t>
        </is>
      </c>
      <c r="G1620" s="4" t="inlineStr">
        <is>
          <t>Fedezze fel a zene új dimenzióit otthonában a SAL BTA 215 vezeték nélküli BT erősítővel, ami kisméretű kialakításának köszönhetően ideális a legkisebb helyekre is. Ez a beépíthető, diszkréten elhelyezhető eszköz tökéletes választás, ha a zenehallgatás élményét szeretné fokozni otthonában, anélkül, hogy az eszköz feltűnő lenne. 
A v5.0 BT kapcsolatnak köszönhetően, a SAL BTA 215 erősítő lehetővé teszi, hogy zökkenőmentesen, magas minőségben streamelje kedvenc dalait mobiltelefonjáról, táblagépéről vagy bármely BT-kompatibilis eszközről. Akár a szekrényben, az asztal alatt, vagy az álmennyezet fölött is elhelyezhető, így nem vesz el értékes helyet.
Az erősítő 20 Hz-től 20.000 Hz-ig terjedő frekvenciatartományban képes működni, kínálva ezzel tiszta és részletgazdag hangzást a magasaktól a mélyekig. A 2 x 15 W (4 Ohm) és a 2 x 10 W (8 Ohm) kimeneti teljesítmény gondoskodik a megfelelő hangerőről. A hangerő és hangszín egyszerűen, kényelmesen szabályozható a csatlakoztatott BT jelforrás eszközéről, így Ön teljes irányítással rendelkezhet a zenei élmény felett.
Azonnali zenelejátszásra vágyik a nappaliban, hálószobában, vagy akár a konyhában is? A SAL BTA 215 erősítővel percek alatt valósággá válhat. Csatlakoztassa hangdobozait vagy beépíthető hangszóróit, és élvezze a zenehallgatás szabadságát, miközben otthonának bármely szegletében tevékenykedik. Ne hagyja ki ezt a lehetőséget, emelje új szintre otthoni audio élményét a SAL BTA 215 vezeték nélküli BT erősítővel!</t>
        </is>
      </c>
    </row>
    <row r="1621">
      <c r="A1621" s="3" t="inlineStr">
        <is>
          <t>RRT 4B</t>
        </is>
      </c>
      <c r="B1621" s="2" t="inlineStr">
        <is>
          <t>SAL RRT 4B retro asztali rádió, multimédia lejátszó, BT, USB/MicroSD, AUX, Rádió, EQ, ~16 óra üzemidő</t>
        </is>
      </c>
      <c r="C1621" s="1" t="n">
        <v>24690.0</v>
      </c>
      <c r="D1621" s="7" t="n">
        <f>HYPERLINK("https://www.somogyi.hu/product/sal-rrt-4b-retro-asztali-radio-multimedia-lejatszo-bt-usb-microsd-aux-radio-eq-16-ora-uzemido-rrt-4b-16337","https://www.somogyi.hu/product/sal-rrt-4b-retro-asztali-radio-multimedia-lejatszo-bt-usb-microsd-aux-radio-eq-16-ora-uzemido-rrt-4b-16337")</f>
        <v>0.0</v>
      </c>
      <c r="E1621" s="7" t="n">
        <f>HYPERLINK("https://www.somogyi.hu/data/img/product_main_images/small/16337.jpg","https://www.somogyi.hu/data/img/product_main_images/small/16337.jpg")</f>
        <v>0.0</v>
      </c>
      <c r="F1621" s="2" t="inlineStr">
        <is>
          <t>5999084943691</t>
        </is>
      </c>
      <c r="G1621" s="4" t="inlineStr">
        <is>
          <t>Vajon lehetséges egy asztali rádióval visszapörgetni az időt, miközben a modern zenei világ előnyeit élvezzük? A SAL RRT 4B retro asztali rádió nem csak ezt a kérdést válaszolja meg igenlően, hanem egyúttal elegáns, sokoldalú eszközként szolgál a zenehallgatás szinte minden formájához.
Ez a 4 az 1-ben multifunkcionális rádió nem csak a hagyományos AM, FM, SW1, és SW2 sávokon keresztül biztosítja a rádióadások vételét, hanem vezeték nélküli Bluetooth kapcsolatot is kínál, lehetővé téve a zene streamelését mobilkészülékről vagy számítógépről. Az USB és microSD eszközökön tárolt MP3 fájlok lejátszása mellett az AUX bemeneten keresztül további audio források is csatlakoztathatók, így szélesítheti zenei repertoárját.
Az integrált EQ hangszínszabályozóval finomhangolhatja a hangzást, míg a klasszikus fa hangdoboz és a két hangszóró gazdag, meleg hangzást biztosít. A távirányító segítségével kényelmesen irányíthatja a multimédia funkciókat, így az ágyból vagy a kanapéról is élvezheti kedvenc zenéit. A sokoldalú tápellátási opciók – beleértve a beépített akkumulátort, a tartozék hálózati kábelt, és a nem tartozék elemeket vagy külső adaptert – biztosítják, hogy a zene sosem szakad meg, legyen szó otthoni kikapcsolódásról vagy baráti összejövetelekről.
Hagyja, hogy a SAL RRT 4B retro asztali rádió a múlt és a jelen között hidat képezzen otthonában, miközben a zene minden formáját felfedezheti.</t>
        </is>
      </c>
    </row>
    <row r="1622">
      <c r="A1622" s="3" t="inlineStr">
        <is>
          <t>RRT 6B</t>
        </is>
      </c>
      <c r="B1622" s="2" t="inlineStr">
        <is>
          <t>SAL RRT 6B retro táskarádió, multimédia lejátszó, 6 in 1, BT, USB, MicroSD, AUX, FM rádió, kihangosító, beépített mikrofon</t>
        </is>
      </c>
      <c r="C1622" s="1" t="n">
        <v>23390.0</v>
      </c>
      <c r="D1622" s="7" t="n">
        <f>HYPERLINK("https://www.somogyi.hu/product/sal-rrt-6b-retro-taskaradio-multimedia-lejatszo-6-in-1-bt-usb-microsd-aux-fm-radio-kihangosito-beepitett-mikrofon-rrt-6b-17952","https://www.somogyi.hu/product/sal-rrt-6b-retro-taskaradio-multimedia-lejatszo-6-in-1-bt-usb-microsd-aux-fm-radio-kihangosito-beepitett-mikrofon-rrt-6b-17952")</f>
        <v>0.0</v>
      </c>
      <c r="E1622" s="7" t="n">
        <f>HYPERLINK("https://www.somogyi.hu/data/img/product_main_images/small/17952.jpg","https://www.somogyi.hu/data/img/product_main_images/small/17952.jpg")</f>
        <v>0.0</v>
      </c>
      <c r="F1622" s="2" t="inlineStr">
        <is>
          <t>5999084959746</t>
        </is>
      </c>
      <c r="G1622" s="4" t="inlineStr">
        <is>
          <t>Nosztalgikus hangulatot keres, modern technológiával ötvözve? A SAL RRT 6B retro táskarádió pontosan ezt kínálja!
Ez a multifunkcionális eszköz HiFi STEREO zenelejátszással, 2x5 Watt teljesítménnyel garantálja a kiváló hangminőséget, miközben 6in1 funkcionalitása révén a legkülönfélébb zenei igényeket is kielégíti. Bluetooth kapcsolaton keresztül streamelheti kedvenc dalait mobilkészülékéről vagy számítógépéről, emellett USB-n és microSD-n keresztül is lejátszhatja digitális zenegyűjteményét. Az AUX IN és a 3,5 mm-es fejhallgató csatlakozó aljzat biztosítja a hagyományos vezetékes kapcsolódást, míg az integrált mikrofon lehetővé teszi a kéz nélküli telefonhívásokat.
A táskarádió kétsávos (AM/FM) rádióval is rendelkezik, így nem marad le a kedvenc rádióműsorairól sem. A Soft Touch bevonat és a retro szövet borítás esztétikus, miközben a beépített akkumulátor hosszú, akár 22 órás üzemidőt biztosít egyetlen töltéssel. A csomag tartalmaz egy USB-microUSB töltőkábelt és egy 3,5 mm audio kábelt is, így minden szükséges kiegészítőt megkap az azonnali használathoz.
Fedezze fel a SAL RRT 6B retro táskarádióval a múltat modern kivitelben, és hozza vissza a régi idők stílusát. Tegye élvezetessé a zenehallgatást, ahol csak szeretné!</t>
        </is>
      </c>
    </row>
    <row r="1623">
      <c r="A1623" s="3" t="inlineStr">
        <is>
          <t>SB 2000</t>
        </is>
      </c>
      <c r="B1623" s="2" t="inlineStr">
        <is>
          <t>SAL SB 2000 hordozható hangprojektor, 2.1 stereo, BT TWS kapcsolat, 3.5mm AUX, érintőgombok, EQ, mikrofon, USB-C és AUX kábel, IPX5</t>
        </is>
      </c>
      <c r="C1623" s="1" t="n">
        <v>20190.0</v>
      </c>
      <c r="D1623" s="7" t="n">
        <f>HYPERLINK("https://www.somogyi.hu/product/sal-sb-2000-hordozhato-hangprojektor-2-1-stereo-bt-tws-kapcsolat-3-5mm-aux-erintogombok-eq-mikrofon-usb-c-es-aux-kabel-ipx5-sb-2000-18333","https://www.somogyi.hu/product/sal-sb-2000-hordozhato-hangprojektor-2-1-stereo-bt-tws-kapcsolat-3-5mm-aux-erintogombok-eq-mikrofon-usb-c-es-aux-kabel-ipx5-sb-2000-18333")</f>
        <v>0.0</v>
      </c>
      <c r="E1623" s="7" t="n">
        <f>HYPERLINK("https://www.somogyi.hu/data/img/product_main_images/small/18333.jpg","https://www.somogyi.hu/data/img/product_main_images/small/18333.jpg")</f>
        <v>0.0</v>
      </c>
      <c r="F1623" s="2" t="inlineStr">
        <is>
          <t>5999084963514</t>
        </is>
      </c>
      <c r="G1623" s="4" t="inlineStr">
        <is>
          <t>Keres egy olyan hangprojektort, amely elegáns és minőségi hangzást nyújt? A SAL SB 2000 hordozható hangprojektor pontosan ilyen! Az IPX5 védelemnek köszönhetően ez a készülék ellenáll a vízfröccsenésnek, így biztonságban tudhatja bármilyen környezetben vagy helyzetben.
A 2.1 stereo hangrendszer passzív mélysugárzóval biztosítja a dinamikus, telt és térhatású hangzást, ami otthona minden szegletét betölti. A dupla hangerő és a kiterjesztett stereo élmény érdekében két azonos hangszóró vezeték nélkül is párosítható. A 3.5mm-es AUX audio bemenettel és a könnyen kezelhető oldalsó érintőgombbal azonnal hozzáférhet kedvenc zenéihez vagy podcastjeihez.
Az exkluzív, textil bevonatú burkolat elegáns kiegészítője lesz bármely helyiségnek, míg a beépített mikrofon segítségével könnyedén fogadhatja hívásait is. A beépített akkumulátor akár 10 órás üzemidőt biztosít egyetlen töltéssel. A csomag tartalmaz egy USB-C töltőkábelt és egy 3.5mm-es stereo audio kábelt a tökéletes hangélményért.
Legyen része kiváló zenei élményben a SAL SB 2000 hangprojektorral, mely tökéletes egyensúlyt teremt a stílus, a portabilitás és a teljesítmény között.</t>
        </is>
      </c>
    </row>
    <row r="1624">
      <c r="A1624" s="3" t="inlineStr">
        <is>
          <t>BT 7000</t>
        </is>
      </c>
      <c r="B1624" s="2" t="inlineStr">
        <is>
          <t>SAL BT 7000 hordozható bluetooth kihangosító, BoomBox, 2 x 30 W, BT TWS, 3.5mm AUX, USB, EQ, LED effektek, telefontöltés, USB-C és AUX kábel, vízálló</t>
        </is>
      </c>
      <c r="C1624" s="1" t="n">
        <v>46790.0</v>
      </c>
      <c r="D1624" s="7" t="n">
        <f>HYPERLINK("https://www.somogyi.hu/product/sal-bt-7000-hordozhato-bluetooth-kihangosito-boombox-2-x-30-w-bt-tws-3-5mm-aux-usb-eq-led-effektek-telefontoltes-usb-c-es-aux-kabel-vizallo-bt-7000-18334","https://www.somogyi.hu/product/sal-bt-7000-hordozhato-bluetooth-kihangosito-boombox-2-x-30-w-bt-tws-3-5mm-aux-usb-eq-led-effektek-telefontoltes-usb-c-es-aux-kabel-vizallo-bt-7000-18334")</f>
        <v>0.0</v>
      </c>
      <c r="E1624" s="7" t="n">
        <f>HYPERLINK("https://www.somogyi.hu/data/img/product_main_images/small/18334.jpg","https://www.somogyi.hu/data/img/product_main_images/small/18334.jpg")</f>
        <v>0.0</v>
      </c>
      <c r="F1624" s="2" t="inlineStr">
        <is>
          <t>5999084963521</t>
        </is>
      </c>
      <c r="G1624" s="4" t="inlineStr">
        <is>
          <t>Fedezze fel a zene új dimenzióját a SAL BT 7000 hordozható bluetooth kihangosítóval, amely nem csak zenehallgatásra, hanem telefonhívások kezelésére is alkalmas. Ez a nagyteljesítményű stereo hangrendszer, amely 2x30 W teljesítményt biztosít, tökéletes választás otthoni szórakoztatáshoz vagy kültéri bulikhoz. A rendkívül gazdag hangzásvilágért a készülék két magas, két mélyközép és két passzív mélysugárzót, valamint megbízható TWS (True Wireless Stereo) kapcsolatot kínál.
Ez a nagyteljesítményű, sztereó erősítővel felszerelt készülék erőteljes, térhatású hangzással bűvöl el, amelyet duplázni is tud, ha két azonos boomboxot vezeték nélkül összekapcsol, így kiterjesztett sztereó élményt és dupla hangerőt garantálva. Zenelejátszásra többféle módon is van lehetőség: vezeték nélküli Bluetooth kapcsolaton keresztül, USB bemeneten keresztül vagy a 3.5mm-es stereo AUX audio bemeneten keresztül. Az EQ hangszín módok és LED fényeffekt módok (amelyek szükség esetén kikapcsolhatók) még személyre szabottabbá teszik a zenehallgatási élményt.
A beépített mikrofonnak köszönhetően telefonhívásokat is fogadhat anélkül, hogy le kellene választania készülékét, így soha nem marad le egyetlen fontos hívásról sem. A készülék vésztöltő funkcióval is rendelkezik, így kényelmesen töltheti telefonját USB aljzaton keresztül, ha arra van szükség.
Az exkluzív, textil bevonatú burkolat és a kompakt méretek (310 x 152 x 118 mm) eleganciát visznek bármely helyiségbe. A beépített akkumulátor ~4 órás töltéssel akár ~12 órán át képes üzemelni. A csomag USB-C töltőkábelt és 3.5mm stereo audio kábelt is tartalmaz, így minden szükséges eszközt megkap a készülék azonnali használatához.
Élje át a tökéletes zenei élményt a SAL BT 7000 hordozható bluetooth kihangosítóval, amely több, mint egy hangszóró: egy olyan eszköz, amely összeköti a zenét, a kommunikációt és a stílust.</t>
        </is>
      </c>
    </row>
    <row r="1625">
      <c r="A1625" s="3" t="inlineStr">
        <is>
          <t>BT 3000</t>
        </is>
      </c>
      <c r="B1625" s="2" t="inlineStr">
        <is>
          <t>SAL BT 3000 hordozható bluetooth kihangosító, 2 x 16 W, sztereó boombox, FM rádió, USB, microSD, beépített mikrofon, RGB LED, ~4,5 óra üzemidő</t>
        </is>
      </c>
      <c r="C1625" s="1" t="n">
        <v>15990.0</v>
      </c>
      <c r="D1625" s="7" t="n">
        <f>HYPERLINK("https://www.somogyi.hu/product/sal-bt-3000-hordozhato-bluetooth-kihangosito-2-x-16-w-sztereo-boombox-fm-radio-usb-microsd-beepitett-mikrofon-rgb-led-4-5-ora-uzemido-bt-3000-18003","https://www.somogyi.hu/product/sal-bt-3000-hordozhato-bluetooth-kihangosito-2-x-16-w-sztereo-boombox-fm-radio-usb-microsd-beepitett-mikrofon-rgb-led-4-5-ora-uzemido-bt-3000-18003")</f>
        <v>0.0</v>
      </c>
      <c r="E1625" s="7" t="n">
        <f>HYPERLINK("https://www.somogyi.hu/data/img/product_main_images/small/18003.jpg","https://www.somogyi.hu/data/img/product_main_images/small/18003.jpg")</f>
        <v>0.0</v>
      </c>
      <c r="F1625" s="2" t="inlineStr">
        <is>
          <t>5999084960254</t>
        </is>
      </c>
      <c r="G1625" s="4" t="inlineStr">
        <is>
          <t>Szeretné a különleges hangélményt hordozható formában élvezni? A SAL BT 3000 bluetooth kihangosító tökéletes választás lehet azok számára, akik nem akarnak kompromisszumot kötni a hangminőség terén.
Ez a készülék IPX4 vízálló védelemmel büszkélkedik, így nem kell aggódnia a fröccsenő víz miatt. A beépített, nagy teljesítményű erősítő és a kettős oldali dinamikus mélysugárzók kiváló, térhatású hangzást biztosítanak. A dupla hangerő és kiterjesztett stereo élményért két azonos Boom-Box egyszerűen és vezeték nélkül párosítható, így még lenyűgözőbb hangzást érhet el.
A készülékben található beépített mikrofonnak köszönhetően a hívásfogadás is gyerekjáték, míg az MP3 lejátszás USB-ről történő lehetősége széleskörű felhasználhatóságot biztosít. A kikapcsolható RGB LED fényeffektekkel pedig saját hangulatát hozhatja létre. A textilbevonatú burkolat elegáns megjelenést kölcsönöz, míg az eltávolítható hordfül megkönnyíti a szállítást.
A beépített akkumulátor hosszú üzemidőt garantál: töltése csupán 4,5 óra, míg működési ideje akár 10 óra is lehet. A csomag tartalmaz egy USB-C töltőkábelt és egy 3,5 mm-es audio kábelt, így minden szükséges tartozékot biztosítunk a zökkenőmentes használathoz.
Ha Ön is prémium hangminőségre vágyik bárhol, bármikor, válassza a SAL BT 3000 bluetooth kihangosítót, és élvezze a zavartalan és magával ragadó hangélményt, akár otthon, akár útközben.</t>
        </is>
      </c>
    </row>
    <row r="1626">
      <c r="A1626" s="3" t="inlineStr">
        <is>
          <t>SAL 200BT</t>
        </is>
      </c>
      <c r="B1626" s="2" t="inlineStr">
        <is>
          <t>SAL, SAL 200 BT multimédiás hangdobozpár, 2 x 80 W, 3 utas Bass-reflex, BT, USB, SD, FM, 2 x RCA, 2 x 6,3mm jack, EQ</t>
        </is>
      </c>
      <c r="C1626" s="1" t="n">
        <v>91790.0</v>
      </c>
      <c r="D1626" s="7" t="n">
        <f>HYPERLINK("https://www.somogyi.hu/product/sal-sal-200-bt-multimedias-hangdobozpar-2-x-80-w-3-utas-bass-reflex-bt-usb-sd-fm-2-x-rca-2-x-6-3mm-jack-eq-sal-200bt-17907","https://www.somogyi.hu/product/sal-sal-200-bt-multimedias-hangdobozpar-2-x-80-w-3-utas-bass-reflex-bt-usb-sd-fm-2-x-rca-2-x-6-3mm-jack-eq-sal-200bt-17907")</f>
        <v>0.0</v>
      </c>
      <c r="E1626" s="7" t="n">
        <f>HYPERLINK("https://www.somogyi.hu/data/img/product_main_images/small/17907.jpg","https://www.somogyi.hu/data/img/product_main_images/small/17907.jpg")</f>
        <v>0.0</v>
      </c>
      <c r="F1626" s="2" t="inlineStr">
        <is>
          <t>5999084959296</t>
        </is>
      </c>
      <c r="G1626" s="4" t="inlineStr">
        <is>
          <t xml:space="preserve"> • hangszóró: mély: Ø200 mm • közép: Ø110 mm • magas: Ø40 mm 
 • frekvenciaátvitel: 35 – 20.000 Hz 
 • szín: fekete 
 • hangdoboz kialakítása: 3 utas bassz-reflex 
 • digitális kijelző: van 
 • kimenőteljesítmény: 2 x 80 W / 60 W  (zenei / névleges) 
 • vezeték nélküli BT kapcsolat: Bluetooth 2.402-2.480 GHz ERP ≤2.5 mW (max.10 m) 
 • FM rádió: automatikus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a LED kijelző fényereje beállítható• időzíthető, automatikus kikapcsolás • klasszikus, masszív MDF fa konstrukció • hangdobozok közötti vezeték hossza: ~250 cm 
 • méret: 140 x 600 x 350 mm / db 
 • súly: 10,2 kg   8,4 kg</t>
        </is>
      </c>
    </row>
    <row r="1627">
      <c r="A1627" s="3" t="inlineStr">
        <is>
          <t>PCS 2100</t>
        </is>
      </c>
      <c r="B1627" s="2" t="inlineStr">
        <is>
          <t>SAL PCS 2100 multimédia hangszórópár, 2x10 W, személyre szabható RGB LED effekt, AUX, BT, USB tápkábel</t>
        </is>
      </c>
      <c r="C1627" s="1" t="n">
        <v>14190.0</v>
      </c>
      <c r="D1627" s="7" t="n">
        <f>HYPERLINK("https://www.somogyi.hu/product/sal-pcs-2100-multimedia-hangszoropar-2x10-w-szemelyre-szabhato-rgb-led-effekt-aux-bt-usb-tapkabel-pcs-2100-17710","https://www.somogyi.hu/product/sal-pcs-2100-multimedia-hangszoropar-2x10-w-szemelyre-szabhato-rgb-led-effekt-aux-bt-usb-tapkabel-pcs-2100-17710")</f>
        <v>0.0</v>
      </c>
      <c r="E1627" s="7" t="n">
        <f>HYPERLINK("https://www.somogyi.hu/data/img/product_main_images/small/17710.jpg","https://www.somogyi.hu/data/img/product_main_images/small/17710.jpg")</f>
        <v>0.0</v>
      </c>
      <c r="F1627" s="2" t="inlineStr">
        <is>
          <t>5999084957322</t>
        </is>
      </c>
      <c r="G1627" s="4" t="inlineStr">
        <is>
          <t xml:space="preserve"> • hangszóró: 2 x 3” (76mm) 
 • frekvenciaátvitel: 50 - 18000 Hz 
 • hangdoboz kialakítása: aktív stereo hangdobozpár, bass-reflex 
 • színváltó LED hangulatvilágítás: GAMER RGB LED fényeffekt: személyre szabható vagy kikapcsolható 
 • kimenőteljesítmény: 2 x 10W / 8W (zenei / névleges) 
 • vezeték nélküli BT kapcsolat: van (4.2 / 10m max.) 
 • sztereo térhatás: van 
 • vezetékes audio bemenet: Ø3,5 mm jack 
 • fejhallgató-csatlakozó aljzat: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érintőgomb a fényeffektek és az AUX/BT mód váltására • beépített tápkábel USB dugóval • hangdobozok közötti vezeték hossza: ~100 cm 
 • méret: 90 x 190 x 100 mm (x2) / 0,99 kg</t>
        </is>
      </c>
    </row>
    <row r="1628">
      <c r="A1628" s="3" t="inlineStr">
        <is>
          <t>BTA 250</t>
        </is>
      </c>
      <c r="B1628" s="2" t="inlineStr">
        <is>
          <t>SAL BTA 250 sztereó multimédia erősítő, 2x50 Wmax / 4-8 Ohm, BT, FM rádió, USB, AUX</t>
        </is>
      </c>
      <c r="C1628" s="1" t="n">
        <v>31990.0</v>
      </c>
      <c r="D1628" s="7" t="n">
        <f>HYPERLINK("https://www.somogyi.hu/product/sal-bta-250-sztereo-multimedia-erosito-2x50-wmax-4-8-ohm-bt-fm-radio-usb-aux-bta-250-17963","https://www.somogyi.hu/product/sal-bta-250-sztereo-multimedia-erosito-2x50-wmax-4-8-ohm-bt-fm-radio-usb-aux-bta-250-17963")</f>
        <v>0.0</v>
      </c>
      <c r="E1628" s="7" t="n">
        <f>HYPERLINK("https://www.somogyi.hu/data/img/product_main_images/small/17963.jpg","https://www.somogyi.hu/data/img/product_main_images/small/17963.jpg")</f>
        <v>0.0</v>
      </c>
      <c r="F1628" s="2" t="inlineStr">
        <is>
          <t>5999084959852</t>
        </is>
      </c>
      <c r="G1628" s="4" t="inlineStr">
        <is>
          <t>Egy kompakt erősítőt keres, amely minden igényt kielégítő funkciókkal javítja otthoni hangrendszerét? Fedezze fel a SAL BTA 250 sztereó multimédia erősítőt, amely a kifinomult technológia és stílus tökéletes kombinációját kínálja.
A prémium szálcsiszolt alumínium előlappal rendelkező SAL BTA 250 esztétikailag is kiemelkedik, miközben a digitális és analóg bemenetek széles választékával biztosítja, hogy bármilyen modern audiókészülék csatlakoztatható legyen. Akár a tévé hangminőségét szeretné javítani, akár USB-ről szeretne zenét lejátszani, ez az erősítő mindenre képes.
A beépített Bluetooth kapcsolat lehetővé teszi, hogy vezeték nélkül streamelje kedvenc zenéit mobilkészülékéről vagy számítógépről. Az FM rádió automatikus hangolása, a két karaoke mikrofon bemenet, valamint a magas- és mély hangszínszabályozás biztosítja, hogy a hangélmény minden körülmények között személyre szabható legyen.
A rendkívül kompakt méretek (200 x 65 x 150/170 mm) ellenére erős, 2 x 50 wattos kimeneti teljesítményt biztosít, így akár nagyobb terekben is kitűnően teljesít. A mellékelt távirányítóval egyszerűen irányíthatja az összes funkciót, így a kényelem garantált.
Bővítse ki otthoni szórakoztató rendszerét a SAL BTA 250 multimédia erősítővel, és élvezze a kristálytiszta hangzást, amely életre kelti a zenét és a filmeket! Ne feledje, az erősítő két hangdoboz csatlakoztatását igényli a teljes élményhez.</t>
        </is>
      </c>
    </row>
    <row r="1629">
      <c r="A1629" s="3" t="inlineStr">
        <is>
          <t>PCS 230</t>
        </is>
      </c>
      <c r="B1629" s="2" t="inlineStr">
        <is>
          <t>SAL PCS 230 multimédia hangszórópár, 2x3 W, RGB LED effekt, AUX, BT, USB tápkábel</t>
        </is>
      </c>
      <c r="C1629" s="1" t="n">
        <v>4590.0</v>
      </c>
      <c r="D1629" s="7" t="n">
        <f>HYPERLINK("https://www.somogyi.hu/product/sal-pcs-230-multimedia-hangszoropar-2x3-w-rgb-led-effekt-aux-bt-usb-tapkabel-pcs-230-17719","https://www.somogyi.hu/product/sal-pcs-230-multimedia-hangszoropar-2x3-w-rgb-led-effekt-aux-bt-usb-tapkabel-pcs-230-17719")</f>
        <v>0.0</v>
      </c>
      <c r="E1629" s="7" t="n">
        <f>HYPERLINK("https://www.somogyi.hu/data/img/product_main_images/small/17719.jpg","https://www.somogyi.hu/data/img/product_main_images/small/17719.jpg")</f>
        <v>0.0</v>
      </c>
      <c r="F1629" s="2" t="inlineStr">
        <is>
          <t>5999084957414</t>
        </is>
      </c>
      <c r="G1629" s="4" t="inlineStr">
        <is>
          <t xml:space="preserve"> • hangszóró: 2 x 2” (51mm) 
 • frekvenciaátvitel: 80 - 18000 Hz 
 • hangdoboz kialakítása: aktív stereo hangdobozpár 
 • színváltó LED hangulatvilágítás: váltakozó RGB LED fényeffekt 
 • kimenőteljesítmény: 2 x 3 W 
 • vezeték nélküli BT kapcsolat: v4.2 / max.5 m • Bluetooth 2.402-2.480 GHz ERP ≤2.5 mW 
 • sztereo térhatás: van 
 • vezetékes audio bemenet: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beépített tápkábel USB dugóval • hangdobozok közötti vezeték hossza: ~80 cm 
 • méret: (2x) 65 x 100 x 75mm / 0.35kg</t>
        </is>
      </c>
    </row>
    <row r="1630">
      <c r="A1630" s="6" t="inlineStr">
        <is>
          <t xml:space="preserve">   Hangtechnika / Zenekari-Party hangdoboz</t>
        </is>
      </c>
      <c r="B1630" s="6" t="inlineStr">
        <is>
          <t/>
        </is>
      </c>
      <c r="C1630" s="6" t="inlineStr">
        <is>
          <t/>
        </is>
      </c>
      <c r="D1630" s="6" t="inlineStr">
        <is>
          <t/>
        </is>
      </c>
      <c r="E1630" s="6" t="inlineStr">
        <is>
          <t/>
        </is>
      </c>
      <c r="F1630" s="6" t="inlineStr">
        <is>
          <t/>
        </is>
      </c>
      <c r="G1630" s="6" t="inlineStr">
        <is>
          <t/>
        </is>
      </c>
    </row>
    <row r="1631">
      <c r="A1631" s="3" t="inlineStr">
        <is>
          <t>PAR 219BT</t>
        </is>
      </c>
      <c r="B1631" s="2" t="inlineStr">
        <is>
          <t>SAL PAR 219BT hordozható party hangdoboz, 80 W, BT, FM rádió, AUX, ~13 óra üzemidő külön LED effekt, álló és fekvő</t>
        </is>
      </c>
      <c r="C1631" s="1" t="n">
        <v>48690.0</v>
      </c>
      <c r="D1631" s="7" t="n">
        <f>HYPERLINK("https://www.somogyi.hu/product/sal-par-219bt-hordozhato-party-hangdoboz-80-w-bt-fm-radio-aux-13-ora-uzemido-kulon-led-effekt-allo-es-fekvo-par-219bt-16913","https://www.somogyi.hu/product/sal-par-219bt-hordozhato-party-hangdoboz-80-w-bt-fm-radio-aux-13-ora-uzemido-kulon-led-effekt-allo-es-fekvo-par-219bt-16913")</f>
        <v>0.0</v>
      </c>
      <c r="E1631" s="7" t="n">
        <f>HYPERLINK("https://www.somogyi.hu/data/img/product_main_images/small/16913.jpg","https://www.somogyi.hu/data/img/product_main_images/small/16913.jpg")</f>
        <v>0.0</v>
      </c>
      <c r="F1631" s="2" t="inlineStr">
        <is>
          <t>5999084949457</t>
        </is>
      </c>
      <c r="G1631" s="4" t="inlineStr">
        <is>
          <t>A PAR 219 BT Hordozható party hangdoboz hordozható, masszív kivitelben készült, hogy bárhová magával tudja vinni. A külön kapcsolható látványos LED fényeffektek megvilágítják a hangszórókat. További előnye, hogy álló és fekvő helyzetben is használható. Dobja fel az összejöveteleket, rendezvényeket a társaság kedvenc zenéjével, a hangminőség garantált lesz. 
A kiváló hangzásról a 2- utas bass- reflex, 2 db 200 mm nagyságú mély- és magassugárzó gondoskodik, melynek a teljesítménye 80 W. 
A beépített akkumulátor által rendkívül hosszú üzemidőre képes, akár 13 órán át működik egy töltéssel. A töltési szintről a kijelzőn tájékozódhat.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USB/microSD eszközről, vagy MP3 felvételt USB/microSD eszközre (AUX IN, MIC, FM, BT). A készülék sokoldalúságát az is bizonyítja, hogy régi hanganyagokat képes archiválni, digitalizálni (kazetta, lemez, VHS). 
Számos beállítás közül választhat: Magas- és mély hangszín és EQ hangeffektek, mikrofon visszhang és hangerő szabályozás. 
A továbbfejlesztett KARAOKE funkció által kiszűri az énekes hangját, hogy az Öné legyen hallható. 
Nem csak USB bemenettel ellátott, hanem vezetékes audio bemenettel (MIC, GUITAR, AUX) is. 
A Party hangdoboz tartozékai a hálózati töltőkábel és a távirányító.</t>
        </is>
      </c>
    </row>
    <row r="1632">
      <c r="A1632" s="3" t="inlineStr">
        <is>
          <t>HT 901</t>
        </is>
      </c>
      <c r="B1632" s="2" t="inlineStr">
        <is>
          <t>SAL HT 901 hangfalállvány-hüvely, 35 mm átmérőhöz, max. 40 kg</t>
        </is>
      </c>
      <c r="C1632" s="1" t="n">
        <v>3090.0</v>
      </c>
      <c r="D1632" s="7" t="n">
        <f>HYPERLINK("https://www.somogyi.hu/product/sal-ht-901-hangfalallvany-huvely-35-mm-atmerohoz-max-40-kg-ht-901-8009","https://www.somogyi.hu/product/sal-ht-901-hangfalallvany-huvely-35-mm-atmerohoz-max-40-kg-ht-901-8009")</f>
        <v>0.0</v>
      </c>
      <c r="E1632" s="7" t="n">
        <f>HYPERLINK("https://www.somogyi.hu/data/img/product_main_images/small/08009.jpg","https://www.somogyi.hu/data/img/product_main_images/small/08009.jpg")</f>
        <v>0.0</v>
      </c>
      <c r="F1632" s="2" t="inlineStr">
        <is>
          <t>5998312769645</t>
        </is>
      </c>
      <c r="G1632" s="4" t="inlineStr">
        <is>
          <t>Gondoskodjon róla, hogy a koncertekről se hiányozzon egy nélkülözhetetlen kellék sem! A HT 901 praktikus kialakítással rendelkező hangdobozállvány hüvely, amelynek alkalmazásával a HT 900 állványra helyezhető a hangdoboz. Minden 35 mm átmérőjű rúddal rendelkező állványhoz használható. A hangdobozállvány hüvely a hangdoboz aljába süllyeszthető. teherbírása: maximum 40 kg. Válassza a minőségi termékeket és rendeljen webáruházunkból!</t>
        </is>
      </c>
    </row>
    <row r="1633">
      <c r="A1633" s="3" t="inlineStr">
        <is>
          <t>PAX 42PRO</t>
        </is>
      </c>
      <c r="B1633" s="2" t="inlineStr">
        <is>
          <t>SAL PAX 42PRO zenekari hangdoboz, 400/250 W, titánium magassugárzó, 15" mélysugárzó, színpadi monitor funkció</t>
        </is>
      </c>
      <c r="C1633" s="1" t="n">
        <v>84890.0</v>
      </c>
      <c r="D1633" s="7" t="n">
        <f>HYPERLINK("https://www.somogyi.hu/product/sal-pax-42pro-zenekari-hangdoboz-400-250-w-titanium-magassugarzo-15-melysugarzo-szinpadi-monitor-funkcio-pax-42pro-18187","https://www.somogyi.hu/product/sal-pax-42pro-zenekari-hangdoboz-400-250-w-titanium-magassugarzo-15-melysugarzo-szinpadi-monitor-funkcio-pax-42pro-18187")</f>
        <v>0.0</v>
      </c>
      <c r="E1633" s="7" t="n">
        <f>HYPERLINK("https://www.somogyi.hu/data/img/product_main_images/small/18187.jpg","https://www.somogyi.hu/data/img/product_main_images/small/18187.jpg")</f>
        <v>0.0</v>
      </c>
      <c r="F1633" s="2" t="inlineStr">
        <is>
          <t>5999084962098</t>
        </is>
      </c>
      <c r="G1633" s="4" t="inlineStr">
        <is>
          <t xml:space="preserve"> • hangdoboz kialakítása: 2 utas bassz-reflex 
 • kimenőteljesítmény: Pm / Pn: 400 / 250 W 
 • hangszóróméret: mély: ∅380 mm, magas: ∅44 mm 
 • hangszóró impedancia: 8 Ω 
 • frekvenciaátvitel: 35 - 20.000 Hz 
 • hangdoboz alapanyaga: ABS műanyag 
 • hangdoboz hordfül: van 
 • állványra helyezhető: igen (HT 900, opció) 
 • méret / súly: 45 x 71 x 37 cm / 16,5 kg 
 • rúd átmérője: ∅35 mm 
 • tulajdonság: masszív, ütésálló burkolat • hátsó görgőpár 
 • jellemzők: színpadi monitor funkció (oldalára fektethető)  
 • egyéb információ: csatlakoztatható aktív hangszóróhoz vagy erősítőhöz • ideális párja: PAX 42BT aktív hangdoboz (opció) • bemenet: Speakon hangszóró aljzat</t>
        </is>
      </c>
    </row>
    <row r="1634">
      <c r="A1634" s="3" t="inlineStr">
        <is>
          <t>PAR 2200BT</t>
        </is>
      </c>
      <c r="B1634" s="2" t="inlineStr">
        <is>
          <t>SAL PAR 2200BT hordozható party hangdoboz, 120 W, BT, FM rádió, AUX, MP3 felvétel, automatikus gyorstöltés</t>
        </is>
      </c>
      <c r="C1634" s="1" t="n">
        <v>96790.0</v>
      </c>
      <c r="D1634" s="7" t="n">
        <f>HYPERLINK("https://www.somogyi.hu/product/sal-par-2200bt-hordozhato-party-hangdoboz-120-w-bt-fm-radio-aux-mp3-felvetel-automatikus-gyorstoltes-par-2200bt-17900","https://www.somogyi.hu/product/sal-par-2200bt-hordozhato-party-hangdoboz-120-w-bt-fm-radio-aux-mp3-felvetel-automatikus-gyorstoltes-par-2200bt-17900")</f>
        <v>0.0</v>
      </c>
      <c r="E1634" s="7" t="n">
        <f>HYPERLINK("https://www.somogyi.hu/data/img/product_main_images/small/17900.jpg","https://www.somogyi.hu/data/img/product_main_images/small/17900.jpg")</f>
        <v>0.0</v>
      </c>
      <c r="F1634" s="2" t="inlineStr">
        <is>
          <t>5999084959227</t>
        </is>
      </c>
      <c r="G1634" s="4" t="inlineStr">
        <is>
          <t>Egy minden igényt kielégítő hordozható hangdobozt keres a következő bulijához? A SAL PAR 2200BT tökéletes választás lehet Önnek, hiszen egy igazi szórakoztató központot hoz el otthonába vagy bárhová, ahová csak szeretné. Ez a rendkívül sokoldalú készülék nemcsak zenelejátszásra, hanem archiválásra is képes, miközben a beépített LED fények igazi party hangulatot varázsolnak.
A két mélysugárzónak és két magassugárzónak köszönhetően minden zeneszám tökéletes hangzást kap, míg a vezeték nélküli Bluetooth kapcsolat lehetővé teszi, hogy mobilkészülékéről vagy számítógépéről is zenehallgatásra használja. USB és SD kártya olvasóval felszerelve, az MP3 lejátszás mellett lehetőséget nyújt MP3 formátumba történő felvételre is, így régi kazettáit vagy lemezeit könnyedén digitalizálhatja.
Az FM rádió automatikus hangolással, valamint magas- és mélyhangszín, megabass és EQ hangeffekt beállításokkal biztosítja, hogy kedve szerint szabályozhatja a zene hangzását. Mikrofon visszhangszabályozással és karaoke funkcióval ellátott, ami garantált szórakozást nyújt az éneklés szerelmeseinek.
Beépített akkumulátorának köszönhetően a SAL PAR 2200BT akár 14 órán keresztül képes üzemelni egyetlen töltéssel, de hálózati áramról is működtethető. A kompakt, de mégis masszív kialakítású készülék könnyen hordozható. A csomag tartalmaz egy távirányítót is, amely még nagyobb kényelmet biztosít a használat során.
Ne hagyja ki ezt a tökéletes társat a következő partijához! A SAL PAR 2200BT hordozható party hangdoboz minden, amire szüksége lehet egy felejthetetlen szórakozáshoz.</t>
        </is>
      </c>
    </row>
    <row r="1635">
      <c r="A1635" s="3" t="inlineStr">
        <is>
          <t>BT WORK</t>
        </is>
      </c>
      <c r="B1635" s="2" t="inlineStr">
        <is>
          <t>SAL BT WORK, munka- és szabadidőrádió, 25 W, vízálló, ütésálló, BT, USB, FM rádió, AUX, ~30 óra üzemidő</t>
        </is>
      </c>
      <c r="C1635" s="1" t="n">
        <v>23690.0</v>
      </c>
      <c r="D1635" s="7" t="n">
        <f>HYPERLINK("https://www.somogyi.hu/product/sal-bt-work-munka-es-szabadidoradio-25-w-vizallo-utesallo-bt-usb-fm-radio-aux-30-ora-uzemido-bt-work-17278","https://www.somogyi.hu/product/sal-bt-work-munka-es-szabadidoradio-25-w-vizallo-utesallo-bt-usb-fm-radio-aux-30-ora-uzemido-bt-work-17278")</f>
        <v>0.0</v>
      </c>
      <c r="E1635" s="7" t="n">
        <f>HYPERLINK("https://www.somogyi.hu/data/img/product_main_images/small/17278.jpg","https://www.somogyi.hu/data/img/product_main_images/small/17278.jpg")</f>
        <v>0.0</v>
      </c>
      <c r="F1635" s="2" t="inlineStr">
        <is>
          <t>5999084953003</t>
        </is>
      </c>
      <c r="G1635" s="4" t="inlineStr">
        <is>
          <t>Készen áll arra, hogy a munkát és a szórakozást egy új szintre emelje? A SAL BT WORK munka- és szabadidőrádió tökéletes társ a munkahelyen, a kertben vagy akár a strandon is, kültéri és beltéri használathoz egyaránt ideális. 
Ezzel a multimédia eszközzel nem csak a munka lesz kellemesebb, hanem minden szabadidős tevékenység is.
Az eszköz hátoldalán elhelyezett, fehér fényű LED lámpa (3 W) praktikus világítást biztosít sötétedés után, míg a vezeték nélküli BT kapcsolaton keresztül zenehallgatásra nyílik lehetőség mobilkészülékről vagy számítógépről. Az MP3 lejátszás USB eszközről, az FM rádió teleszkópos antennával, valamint a mikrofon bemenet a KARAOKE funkcióval (6,3 mm) tökéletes szórakozást garantál minden helyzetben. A vezetékes audio AUX bemenet (3,5 mm) további flexibilitást nyújt a hangforrások tekintetében.
A beépített akkumulátor töltése mellett a töltöttségi állapot a kijelzőn és egy töltésjelző LED-en is nyomon követhető, így sosem érheti meglepetés az akkumulátor lemerülése kapcsán. A rendkívül hosszú, egy töltéssel elérhető üzemidő – várhatóan 9 óra töltési és 30 óra üzemidő – lehetővé teszi, hogy megszakítás nélkül élvezhesse kedvenc zenéit vagy rádióadásait.
A folyamatos, színes LED fényeffekt varázslatos hangulatot teremt, míg a masszív kialakításnak köszönhetően a rádió víznek és ütődésnek ellenáll, IPX5 besorolású vízsugár elleni védelemmel rendelkezik minden irányból. A szélessávú hangsugárzó 25 W-os teljesítménye garantálja a kiváló hangminőséget.
A csomag tartalmazza a microUSB töltőkábelt és egy 3,5/3,5 mm-es audio kábelt, így minden szükséges tartozékkal együtt érkezik. A SAL BT WORK munka- és szabadidőrádió méretei (400x290x170 mm) és súlya (2,2 kg) ideálisak ahhoz, hogy bárhová magával vihesse.
Ne hagyja ki ezt a rendkívüli lehetőséget, hogy a SAL BT WORK munka- és szabadidőrádióval fokozza munkájának hatékonyságát és szabadidejének élvezetét! Tegye meg az első lépést ma, és fedezze fel, hogyan teheti minden napját különlegesebbé ezzel a sokoldalú eszközzel.</t>
        </is>
      </c>
    </row>
    <row r="1636">
      <c r="A1636" s="3" t="inlineStr">
        <is>
          <t>HT 900</t>
        </is>
      </c>
      <c r="B1636" s="2" t="inlineStr">
        <is>
          <t>SAL HT 900 hangdobozállvány, biztonsági retesz, csúszásgátló lábak, max. 40 kg, 35 mm átmérő, 110-180 cm magasság</t>
        </is>
      </c>
      <c r="C1636" s="1" t="n">
        <v>15890.0</v>
      </c>
      <c r="D1636" s="7" t="n">
        <f>HYPERLINK("https://www.somogyi.hu/product/sal-ht-900-hangdobozallvany-biztonsagi-retesz-csuszasgatlo-labak-max-40-kg-35-mm-atmero-110-180-cm-magassag-ht-900-7201","https://www.somogyi.hu/product/sal-ht-900-hangdobozallvany-biztonsagi-retesz-csuszasgatlo-labak-max-40-kg-35-mm-atmero-110-180-cm-magassag-ht-900-7201")</f>
        <v>0.0</v>
      </c>
      <c r="E1636" s="7" t="n">
        <f>HYPERLINK("https://www.somogyi.hu/data/img/product_main_images/small/07201.jpg","https://www.somogyi.hu/data/img/product_main_images/small/07201.jpg")</f>
        <v>0.0</v>
      </c>
      <c r="F1636" s="2" t="inlineStr">
        <is>
          <t>5998312761939</t>
        </is>
      </c>
      <c r="G1636" s="4" t="inlineStr">
        <is>
          <t>Gondoskodjon róla, hogy a koncertekről se hiányozzon egy nélkülözhetetlen kellék sem! A HT 900 egy állvány, amely a zenekari hangdobozok tartását biztosítja.
A HT 900 maximum 40 kg-ig terhelhető, előnye, hogy könnyű, stabil konstrukcióban készült, lábai csúszásgátlóval vannak ellátva. Az állvány magassága 1100 – 1800 mm között állítható, súlya 2,3 kg. Válassza a minőségi termékeket és rendeljen webáruházunkból!</t>
        </is>
      </c>
    </row>
    <row r="1637">
      <c r="A1637" s="3" t="inlineStr">
        <is>
          <t>PAX 42BT</t>
        </is>
      </c>
      <c r="B1637" s="2" t="inlineStr">
        <is>
          <t>SAL PAX 42BT, Aktív zenekari hangdoboz, multimédia lejátszó, 400/250 W, BT, USB, FM rádió, EQ,</t>
        </is>
      </c>
      <c r="C1637" s="1" t="n">
        <v>121990.0</v>
      </c>
      <c r="D1637" s="7" t="n">
        <f>HYPERLINK("https://www.somogyi.hu/product/sal-pax-42bt-aktiv-zenekari-hangdoboz-multimedia-lejatszo-400-250-w-bt-usb-fm-radio-eq-pax-42bt-18186","https://www.somogyi.hu/product/sal-pax-42bt-aktiv-zenekari-hangdoboz-multimedia-lejatszo-400-250-w-bt-usb-fm-radio-eq-pax-42bt-18186")</f>
        <v>0.0</v>
      </c>
      <c r="E1637" s="7" t="n">
        <f>HYPERLINK("https://www.somogyi.hu/data/img/product_main_images/small/18186.jpg","https://www.somogyi.hu/data/img/product_main_images/small/18186.jpg")</f>
        <v>0.0</v>
      </c>
      <c r="F1637" s="2" t="inlineStr">
        <is>
          <t>5999084962081</t>
        </is>
      </c>
      <c r="G1637" s="4" t="inlineStr">
        <is>
          <t xml:space="preserve"> • hangdoboz kialakítása: 2 utas bassz-reflex 
 • multifunkciós digitális kijelző: van 
 • Vezeték nélküli BT kapcsolat funkció: BT TWS kapcsolat (v5.0 / max.10 m) • Bluetooth 2.402-2.480 GHz ERP ≤2.5 mW 
 • FM rádió: automatikus állomáskereséssel, tárolással 
 • lejátszható formátumok: MP3-WMA-FLAC-WAV-APE 
 • beépített erősítő: van 
 • kimenőteljesítmény: Pm / Pn: 400 / 250 W 
 • csatlakoztatható eszköz: USB/SD, BT, FM, MIC, LINE 
 • hangerőszabályozó: van 
 • magas és mély hangszínszabályozó: magas, mély, EQ 
 • mikrofonbemenet: ∅6,3 mm   XLR 
 • audio bemenet: 2 x RCA   XLR 
 • hangszórókimenet: Speakon hangszóró aljzat 
 • hangszóróméret: mély: ∅380 mm, magas: ∅44 mm 
 • hangszóró impedancia: 4 Ω 
 • frekvenciaátvitel: 35 - 20.000 Hz 
 • hangdoboz alapanyaga: ABS műanyag 
 • hangdoboz hordfül: van 
 • állványra helyezhető: igen (HT 900, opció) 
 • tartozék: távirányító elemmel (CR2025), hálózati csatlakozókábel 
 • tápellátás: 230 V~ / 50 Hz 
 • méret / súly: 45 x 71 x 37 cm / 18,5 kg 
 • rúd átmérője: ∅35 mm 
 • tulajdonság: masszív, ütésálló burkolat • hátsó görgőpár 
 • jellemzők: túlvezérlést visszajelző LED • színpadi monitor funkció (oldalára fektethető) 
 • egyéb információ: második hangdoboz is csatlakoztatható (opció: PAX 42PRO) • 4 hangdobozos nagyteljesítményű rendszer is kialakítható</t>
        </is>
      </c>
    </row>
    <row r="1638">
      <c r="A1638" s="3" t="inlineStr">
        <is>
          <t>PAR 20BT</t>
        </is>
      </c>
      <c r="B1638" s="2" t="inlineStr">
        <is>
          <t>SAL PAR 20BT hordozható party hangdoboz, 40 W, BT, FM rádió, AUX, ~10 óra üzemidő</t>
        </is>
      </c>
      <c r="C1638" s="1" t="n">
        <v>31590.0</v>
      </c>
      <c r="D1638" s="7" t="n">
        <f>HYPERLINK("https://www.somogyi.hu/product/sal-par-20bt-hordozhato-party-hangdoboz-40-w-bt-fm-radio-aux-10-ora-uzemido-par-20bt-16384","https://www.somogyi.hu/product/sal-par-20bt-hordozhato-party-hangdoboz-40-w-bt-fm-radio-aux-10-ora-uzemido-par-20bt-16384")</f>
        <v>0.0</v>
      </c>
      <c r="E1638" s="7" t="n">
        <f>HYPERLINK("https://www.somogyi.hu/data/img/product_main_images/small/16384.jpg","https://www.somogyi.hu/data/img/product_main_images/small/16384.jpg")</f>
        <v>0.0</v>
      </c>
      <c r="F1638" s="2" t="inlineStr">
        <is>
          <t>5999084944162</t>
        </is>
      </c>
      <c r="G1638" s="4" t="inlineStr">
        <is>
          <t>A PAR 20BT Party hangdoboz hordozható, masszív kivitelben készült, hogy bárhová magával tudja vinni. Könnyű súlya által minden összejövetel és rendezvény elengedhetetlen eszköze lesz a jó hangulat megteremtéséhez. A LED fényeffekt látványos megjelenést biztosít a készüléknek. 
A beépített Li-ion akkumulátornak köszönhetően akár 10 óra üzemidőre is képes egy töltéssel.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eszközről. 
Nem csak USB bemenettel ellátott, de KARAOKE mikrofonbemenettel és AUX audio (3,5 mm) bemenettel is. 
A Hordozható party hangdoboz tartozékai a microUSB hálózati töltőkábel és a távirányító.</t>
        </is>
      </c>
    </row>
    <row r="1639">
      <c r="A1639" s="3" t="inlineStr">
        <is>
          <t>PAR 221DJ</t>
        </is>
      </c>
      <c r="B1639" s="2" t="inlineStr">
        <is>
          <t>SAL PAR 221DJ hordozható party hangdoboz, 120 W, DJ panel, BT, FM rádió, AUX, ~13h, automatikus töltés</t>
        </is>
      </c>
      <c r="C1639" s="1" t="n">
        <v>73490.0</v>
      </c>
      <c r="D1639" s="7" t="n">
        <f>HYPERLINK("https://www.somogyi.hu/product/sal-par-221dj-hordozhato-party-hangdoboz-120-w-dj-panel-bt-fm-radio-aux-13h-automatikus-toltes-par-221dj-17575","https://www.somogyi.hu/product/sal-par-221dj-hordozhato-party-hangdoboz-120-w-dj-panel-bt-fm-radio-aux-13h-automatikus-toltes-par-221dj-17575")</f>
        <v>0.0</v>
      </c>
      <c r="E1639" s="7" t="n">
        <f>HYPERLINK("https://www.somogyi.hu/data/img/product_main_images/small/17575.jpg","https://www.somogyi.hu/data/img/product_main_images/small/17575.jpg")</f>
        <v>0.0</v>
      </c>
      <c r="F1639" s="2" t="inlineStr">
        <is>
          <t>5999084955977</t>
        </is>
      </c>
      <c r="G1639" s="4" t="inlineStr">
        <is>
          <t>Ön a tökéletes party hangdobozt keresi, amely professzionális DJ hanghatásokkal teszi felejthetetlenné az estét? A SAL PAR 221DJ hordozható party hangdoboz nemcsak zenelejátszást kínál, hanem egy komplett szórakoztató központot varázsol az otthonába. A készülék 4x16 féle kreatív, szórakoztató DJ hanghatással – köztük kürt, zenei akkordok, szintetizátor, ritmushangszer effektek, és közönségreakciók – biztosítja a tökéletes hangulatot.
A megvilágított Soft Touch DJ kontrol panel lehetővé teszi, hogy könnyedén kezelje az effekteket, míg a FULL LED előlap, amely a zene ritmusára változó fényeffekteket kínál, fergeteges hangulatot teremt. Az előlapon elhelyezett beépített tartóban táblagépét vagy mobiltelefonját is elhelyezheti, így a zenei listáit könnyedén kezelheti.
Vezeték nélküli Bluetooth TWS kapcsolaton keresztül streamelheti kedvenc dalait közvetlenül mobilkészülékéről, és USB eszközről MP3, WMA, WAV, APE, FLAC formátumokban is lejátszhatja zenéit. A karaoke és mikrofon visszhang szabályozás funkcióval kiegészülve a SAL PAR 221DJ tökéletes választás énekléshez és szórakozáshoz.
A 2-utas bass-reflex rendszerrel, 2x200mm-es mélysugárzókkal és 120W teljesítménnyel rendelkező hangdoboz garantáltan minőségi hangzást nyújt. A beépített akkumulátor akár 13 órás üzemidőt biztosít, a görgőknek köszönhetően pedig könnyen mozgatható. Az akkumulátoros üzemeltetés és a kompakt kivitel gondoskodik arról, hogy bárhol, bármikor élvezhesse a zenét.
Tegye emlékezetessé a következő bulit a SAL PAR 221DJ hangdobozzal, amely nemcsak hangjával, hanem stílusával is kiemelkedik!</t>
        </is>
      </c>
    </row>
    <row r="1640">
      <c r="A1640" s="6" t="inlineStr">
        <is>
          <t xml:space="preserve">   Hangtechnika / Mélysugárzó</t>
        </is>
      </c>
      <c r="B1640" s="6" t="inlineStr">
        <is>
          <t/>
        </is>
      </c>
      <c r="C1640" s="6" t="inlineStr">
        <is>
          <t/>
        </is>
      </c>
      <c r="D1640" s="6" t="inlineStr">
        <is>
          <t/>
        </is>
      </c>
      <c r="E1640" s="6" t="inlineStr">
        <is>
          <t/>
        </is>
      </c>
      <c r="F1640" s="6" t="inlineStr">
        <is>
          <t/>
        </is>
      </c>
      <c r="G1640" s="6" t="inlineStr">
        <is>
          <t/>
        </is>
      </c>
    </row>
    <row r="1641">
      <c r="A1641" s="3" t="inlineStr">
        <is>
          <t>SPA 3040</t>
        </is>
      </c>
      <c r="B1641" s="2" t="inlineStr">
        <is>
          <t>SAL SPA 3040 mélysugárzó, 210 W, alumínium csévetest, 2 rétegű hangtekercs, 40 Oz mágnes</t>
        </is>
      </c>
      <c r="C1641" s="1" t="n">
        <v>20190.0</v>
      </c>
      <c r="D1641" s="7" t="n">
        <f>HYPERLINK("https://www.somogyi.hu/product/sal-spa-3040-melysugarzo-210-w-aluminium-csevetest-2-retegu-hangtekercs-40-oz-magnes-spa-3040-4169","https://www.somogyi.hu/product/sal-spa-3040-melysugarzo-210-w-aluminium-csevetest-2-retegu-hangtekercs-40-oz-magnes-spa-3040-4169")</f>
        <v>0.0</v>
      </c>
      <c r="E1641" s="7" t="n">
        <f>HYPERLINK("https://www.somogyi.hu/data/img/product_main_images/small/04169.jpg","https://www.somogyi.hu/data/img/product_main_images/small/04169.jpg")</f>
        <v>0.0</v>
      </c>
      <c r="F1641" s="2" t="inlineStr">
        <is>
          <t>5998312736982</t>
        </is>
      </c>
      <c r="G1641" s="4" t="inlineStr">
        <is>
          <t>Az SPA 3040 mélysugárzó kiválóan alkalmas zenehallgatásra, valamint hangosítási célokra egyaránt.
Az impregnált papír kónusszal ellátott készülék zenei teljesítménye 210/150 W, frekvencia-átvitele 40 – 3.500 Hz tartományba esik, míg érzékenysége: 90 dB. 
Az alumíniumból készült csévetest megfelelő hűtést biztosít. A mágnes súlya: 40 Oz. A mélysugárzó átmérője: 300 mm. Válassza a minőségi termékeket és rendeljen webáruházunkból.</t>
        </is>
      </c>
    </row>
    <row r="1642">
      <c r="A1642" s="3" t="inlineStr">
        <is>
          <t>SPA 2530</t>
        </is>
      </c>
      <c r="B1642" s="2" t="inlineStr">
        <is>
          <t>SAL SPA 2530 mélysugárzó, 200 W, alumínium csévetest, 2 rétegű hangtekercs, 30 Oz mágnes</t>
        </is>
      </c>
      <c r="C1642" s="1" t="n">
        <v>13390.0</v>
      </c>
      <c r="D1642" s="7" t="n">
        <f>HYPERLINK("https://www.somogyi.hu/product/sal-spa-2530-melysugarzo-200-w-aluminium-csevetest-2-retegu-hangtekercs-30-oz-magnes-spa-2530-4168","https://www.somogyi.hu/product/sal-spa-2530-melysugarzo-200-w-aluminium-csevetest-2-retegu-hangtekercs-30-oz-magnes-spa-2530-4168")</f>
        <v>0.0</v>
      </c>
      <c r="E1642" s="7" t="n">
        <f>HYPERLINK("https://www.somogyi.hu/data/img/product_main_images/small/04168.jpg","https://www.somogyi.hu/data/img/product_main_images/small/04168.jpg")</f>
        <v>0.0</v>
      </c>
      <c r="F1642" s="2" t="inlineStr">
        <is>
          <t>5998312736975</t>
        </is>
      </c>
      <c r="G1642" s="4" t="inlineStr">
        <is>
          <t>Az SPA 2530 mélysugárzó kiválóan alkalmas zenehallgatásra, valamint hangosítási célokra egyaránt.
Az impregnált papír kónusszal ellátott készülék zenei teljesítménye 200/140 W, frekvencia-átvitele 45 - 5.000 Hz tartományba esik, míg érzékenysége: 90 dB. 
Az alumíniumból készült csévetest megfelelő hűtést biztosít. A mágnes súlya: 30 Oz. A mélysugárzó átmérője: 250 mm. Válassza a minőségi termékeket és rendeljen webáruházunkból.</t>
        </is>
      </c>
    </row>
    <row r="1643">
      <c r="A1643" s="3" t="inlineStr">
        <is>
          <t>SPA 4050</t>
        </is>
      </c>
      <c r="B1643" s="2" t="inlineStr">
        <is>
          <t>SAL SPA 4050 mélysugárzó, 230 W, alumínium csévetest, 2 rétegű hangtekercs, 50 Oz mágnes</t>
        </is>
      </c>
      <c r="C1643" s="1" t="n">
        <v>30990.0</v>
      </c>
      <c r="D1643" s="7" t="n">
        <f>HYPERLINK("https://www.somogyi.hu/product/sal-spa-4050-melysugarzo-230-w-aluminium-csevetest-2-retegu-hangtekercs-50-oz-magnes-spa-4050-4170","https://www.somogyi.hu/product/sal-spa-4050-melysugarzo-230-w-aluminium-csevetest-2-retegu-hangtekercs-50-oz-magnes-spa-4050-4170")</f>
        <v>0.0</v>
      </c>
      <c r="E1643" s="7" t="n">
        <f>HYPERLINK("https://www.somogyi.hu/data/img/product_main_images/small/04170.jpg","https://www.somogyi.hu/data/img/product_main_images/small/04170.jpg")</f>
        <v>0.0</v>
      </c>
      <c r="F1643" s="2" t="inlineStr">
        <is>
          <t>5998312736999</t>
        </is>
      </c>
      <c r="G1643" s="4" t="inlineStr">
        <is>
          <t>Az SPA 4050 mélysugárzó kiválóan alkalmas zenehallgatásra, valamint hangosítási célokra egyaránt.
Az impregnált papír kónusszal ellátott készülék zenei teljesítménye 230/160 W, frekvencia-átvitele 30 – 3.000 Hz tartományba esik, míg érzékenysége: 93 dB. 
Az alumíniumból készült csévetest megfelelő hűtést biztosít. A mágnes súlya: 50 Oz. A mélysugárzó átmérője: 400 mm. Válassza a minőségi termékeket és rendeljen webáruházunkból.</t>
        </is>
      </c>
    </row>
    <row r="1644">
      <c r="A1644" s="3" t="inlineStr">
        <is>
          <t>SPA 2030</t>
        </is>
      </c>
      <c r="B1644" s="2" t="inlineStr">
        <is>
          <t>SAL SPA 2030 mélysugárzó, 150 W, alumínium csévetest, 2 rétegű hangtekercs, 30 Oz mágnes</t>
        </is>
      </c>
      <c r="C1644" s="1" t="n">
        <v>12090.0</v>
      </c>
      <c r="D1644" s="7" t="n">
        <f>HYPERLINK("https://www.somogyi.hu/product/sal-spa-2030-melysugarzo-150-w-aluminium-csevetest-2-retegu-hangtekercs-30-oz-magnes-spa-2030-4167","https://www.somogyi.hu/product/sal-spa-2030-melysugarzo-150-w-aluminium-csevetest-2-retegu-hangtekercs-30-oz-magnes-spa-2030-4167")</f>
        <v>0.0</v>
      </c>
      <c r="E1644" s="7" t="n">
        <f>HYPERLINK("https://www.somogyi.hu/data/img/product_main_images/small/04167.jpg","https://www.somogyi.hu/data/img/product_main_images/small/04167.jpg")</f>
        <v>0.0</v>
      </c>
      <c r="F1644" s="2" t="inlineStr">
        <is>
          <t>5998312736968</t>
        </is>
      </c>
      <c r="G1644" s="4" t="inlineStr">
        <is>
          <t>Az SPA 2030 mélysugárzó kiválóan alkalmas zenehallgatásra, valamint hangosítási célokra egyaránt.
Az impregnált papír kónusszal ellátott készülék zenei teljesítménye 150/100 W, frekvencia-átvitele 50 - 5.000 Hz tartományba esik, míg érzékenysége: 89 dB. 
Az alumíniumból készült csévetest megfelelő hűtést biztosít. A mágnes súlya: 30 Oz. A mélysugárzó átmérője: 200 mm. Válassza a minőségi termékeket és rendeljen webáruházunkból.</t>
        </is>
      </c>
    </row>
    <row r="1645">
      <c r="A1645" s="6" t="inlineStr">
        <is>
          <t xml:space="preserve">   Hangtechnika / Magassugárzó</t>
        </is>
      </c>
      <c r="B1645" s="6" t="inlineStr">
        <is>
          <t/>
        </is>
      </c>
      <c r="C1645" s="6" t="inlineStr">
        <is>
          <t/>
        </is>
      </c>
      <c r="D1645" s="6" t="inlineStr">
        <is>
          <t/>
        </is>
      </c>
      <c r="E1645" s="6" t="inlineStr">
        <is>
          <t/>
        </is>
      </c>
      <c r="F1645" s="6" t="inlineStr">
        <is>
          <t/>
        </is>
      </c>
      <c r="G1645" s="6" t="inlineStr">
        <is>
          <t/>
        </is>
      </c>
    </row>
    <row r="1646">
      <c r="A1646" s="3" t="inlineStr">
        <is>
          <t>KHS 110</t>
        </is>
      </c>
      <c r="B1646" s="2" t="inlineStr">
        <is>
          <t>SAL KHS 110 piezo magassugárzó, 4 Ohm/ 300 W, 8 Ohm/ 150 W, 187 x 87 mm</t>
        </is>
      </c>
      <c r="C1646" s="1" t="n">
        <v>1690.0</v>
      </c>
      <c r="D1646" s="7" t="n">
        <f>HYPERLINK("https://www.somogyi.hu/product/sal-khs-110-piezo-magassugarzo-4-ohm-300-w-8-ohm-150-w-187-x-87-mm-khs-110-2362","https://www.somogyi.hu/product/sal-khs-110-piezo-magassugarzo-4-ohm-300-w-8-ohm-150-w-187-x-87-mm-khs-110-2362")</f>
        <v>0.0</v>
      </c>
      <c r="E1646" s="7" t="n">
        <f>HYPERLINK("https://www.somogyi.hu/data/img/product_main_images/small/02362.jpg","https://www.somogyi.hu/data/img/product_main_images/small/02362.jpg")</f>
        <v>0.0</v>
      </c>
      <c r="F1646" s="2" t="inlineStr">
        <is>
          <t>5998312726686</t>
        </is>
      </c>
      <c r="G1646" s="4" t="inlineStr">
        <is>
          <t>Ha Ön is igazán professzionális zenei hangzást szeretne kialakítani, akkor nálunk garantáltan megtalálja az igényeinek megfelelő magassugárzót! 
A KHS 110 piezzo sugárzó zenei teljesítménye: Pm (4 Ω): 300 W, Pm (8 Ω): 150. Frekvencia-átvitele 2000 - 20.000 Hz tartományba esik, míg érzékenysége: 90 dB. Maximálisan megengedett feszültsége: 35 V~. Válassza a minőségi termékeket és rendeljen webáruházunkból.</t>
        </is>
      </c>
    </row>
    <row r="1647">
      <c r="A1647" s="3" t="inlineStr">
        <is>
          <t>KHS 120</t>
        </is>
      </c>
      <c r="B1647" s="2" t="inlineStr">
        <is>
          <t>SAL KHS 120 piezo magassugárzó, 4 Ohm/ 300 W, 8 Ohm/ 150 W, 263 x 100 mm</t>
        </is>
      </c>
      <c r="C1647" s="1" t="n">
        <v>3990.0</v>
      </c>
      <c r="D1647" s="7" t="n">
        <f>HYPERLINK("https://www.somogyi.hu/product/sal-khs-120-piezo-magassugarzo-4-ohm-300-w-8-ohm-150-w-263-x-100-mm-khs-120-2078","https://www.somogyi.hu/product/sal-khs-120-piezo-magassugarzo-4-ohm-300-w-8-ohm-150-w-263-x-100-mm-khs-120-2078")</f>
        <v>0.0</v>
      </c>
      <c r="E1647" s="7" t="n">
        <f>HYPERLINK("https://www.somogyi.hu/data/img/product_main_images/small/02078.jpg","https://www.somogyi.hu/data/img/product_main_images/small/02078.jpg")</f>
        <v>0.0</v>
      </c>
      <c r="F1647" s="2" t="inlineStr">
        <is>
          <t>5998312723128</t>
        </is>
      </c>
      <c r="G1647" s="4" t="inlineStr">
        <is>
          <t>Ha Ön is igazán professzionális zenei hangzást szeretne kialakítani, akkor nálunk garantáltan megtalálja az igényeinek megfelelő magassugárzót! 
A KHS 120 piezzo sugárzó zenei teljesítménye: Pm (4 Ω): 300 W, Pm (8 Ω): 150 W. Frekvencia-átvitele 2000 - 20.000 Hz tartományba esik, míg érzékenysége: 92 dB. Maximálisan megengedett feszültsége: 35 V~. Válassza a minőségi termékeket és rendeljen webáruházunkból.</t>
        </is>
      </c>
    </row>
    <row r="1648">
      <c r="A1648" s="3" t="inlineStr">
        <is>
          <t>DPH 1417</t>
        </is>
      </c>
      <c r="B1648" s="2" t="inlineStr">
        <is>
          <t>SAL DPH 1417 zenekari magassugárzó, 150 W,  8 Ohm, textilbakelit membrán, 20 Oz mágnes, hangváltó szükséges</t>
        </is>
      </c>
      <c r="C1648" s="1" t="n">
        <v>14490.0</v>
      </c>
      <c r="D1648" s="7" t="n">
        <f>HYPERLINK("https://www.somogyi.hu/product/sal-dph-1417-zenekari-magassugarzo-150-w-8-ohm-textilbakelit-membran-20-oz-magnes-hangvalto-szukseges-dph-1417-17788","https://www.somogyi.hu/product/sal-dph-1417-zenekari-magassugarzo-150-w-8-ohm-textilbakelit-membran-20-oz-magnes-hangvalto-szukseges-dph-1417-17788")</f>
        <v>0.0</v>
      </c>
      <c r="E1648" s="7" t="n">
        <f>HYPERLINK("https://www.somogyi.hu/data/img/product_main_images/small/17788.jpg","https://www.somogyi.hu/data/img/product_main_images/small/17788.jpg")</f>
        <v>0.0</v>
      </c>
      <c r="F1648" s="2" t="inlineStr">
        <is>
          <t>5999084958107</t>
        </is>
      </c>
      <c r="G1648" s="4" t="inlineStr">
        <is>
          <t xml:space="preserve"> • hangszóró külső mérete: 160 x 142 mm 
 • membrán alapanyaga: textilbakelit 
 • hangszóró impedancia: 8 Ohm 
 • hangszóróterhelhetőség: Pm/Pn: 150/80 W 
 • frekvenciaátvitel: 2000 - 18000 Hz 
 • hangszóróérzékenység: SPL1W/1m  96 dB 
 • hangtekercs: 1,5" 
 • mágnes: 20 Oz 
 • egyéb információ: hangváltó szükséges hozzá</t>
        </is>
      </c>
    </row>
    <row r="1649">
      <c r="A1649" s="3" t="inlineStr">
        <is>
          <t>DP 11</t>
        </is>
      </c>
      <c r="B1649" s="2" t="inlineStr">
        <is>
          <t>SAL DP 11 zenekari magassugárzó, 120 W, 8 Ohm, textilbakelit membrán, 10 Oz mágnes, hangváltó szükséges</t>
        </is>
      </c>
      <c r="C1649" s="1" t="n">
        <v>5790.0</v>
      </c>
      <c r="D1649" s="7" t="n">
        <f>HYPERLINK("https://www.somogyi.hu/product/sal-dp-11-zenekari-magassugarzo-120-w-8-ohm-textilbakelit-membran-10-oz-magnes-hangvalto-szukseges-dp-11-17786","https://www.somogyi.hu/product/sal-dp-11-zenekari-magassugarzo-120-w-8-ohm-textilbakelit-membran-10-oz-magnes-hangvalto-szukseges-dp-11-17786")</f>
        <v>0.0</v>
      </c>
      <c r="E1649" s="7" t="n">
        <f>HYPERLINK("https://www.somogyi.hu/data/img/product_main_images/small/17786.jpg","https://www.somogyi.hu/data/img/product_main_images/small/17786.jpg")</f>
        <v>0.0</v>
      </c>
      <c r="F1649" s="2" t="inlineStr">
        <is>
          <t>5999084958084</t>
        </is>
      </c>
      <c r="G1649" s="4" t="inlineStr">
        <is>
          <t xml:space="preserve"> • tartós textilbakelit dóm 
 • hangváltó szükséges hozzá 
 • 86 x 86 mm  
 • Z: 8 Ohm 
 • Pm/Pn: 120/60 W 
 • f: 2.000 - 18.000 Hz 
 • SPL1W/1m: 93 dB 
 • hangtekercs: 1,0” 
 • membrán: textilbakelit 
 • mágnes súlya: 10 Oz</t>
        </is>
      </c>
    </row>
    <row r="1650">
      <c r="A1650" s="3" t="inlineStr">
        <is>
          <t>KHS 106</t>
        </is>
      </c>
      <c r="B1650" s="2" t="inlineStr">
        <is>
          <t>SAL KHS 106 piezo magassugárzó, 4 Ohm/ 300 W, 8 Ohm/ 150 W, 95 mm átmérő</t>
        </is>
      </c>
      <c r="C1650" s="1" t="n">
        <v>1390.0</v>
      </c>
      <c r="D1650" s="7" t="n">
        <f>HYPERLINK("https://www.somogyi.hu/product/sal-khs-106-piezo-magassugarzo-4-ohm-300-w-8-ohm-150-w-95-mm-atmero-khs-106-2363","https://www.somogyi.hu/product/sal-khs-106-piezo-magassugarzo-4-ohm-300-w-8-ohm-150-w-95-mm-atmero-khs-106-2363")</f>
        <v>0.0</v>
      </c>
      <c r="E1650" s="7" t="n">
        <f>HYPERLINK("https://www.somogyi.hu/data/img/product_main_images/small/02363.jpg","https://www.somogyi.hu/data/img/product_main_images/small/02363.jpg")</f>
        <v>0.0</v>
      </c>
      <c r="F1650" s="2" t="inlineStr">
        <is>
          <t>5998312726693</t>
        </is>
      </c>
      <c r="G1650" s="4" t="inlineStr">
        <is>
          <t>Ha Ön is igazán professzionális zenei hangzást szeretne kialakítani, akkor nálunk garantáltan megtalálja az igényeinek megfelelő magassugárzót! 
A KHS 106 piezzo sugárzó zenei teljesítménye: Pm (4 Ω): 300 W, Pm (8 Ω): 150. Frekvencia-átvitele 2000 - 20.000 Hz tartományba esik, míg érzékenysége: 94 dB. Maximálisan megengedett feszültsége: 35 V~. Válassza a minőségi termékeket és rendeljen webáruházunkból.</t>
        </is>
      </c>
    </row>
    <row r="1651">
      <c r="A1651" s="3" t="inlineStr">
        <is>
          <t>KHS 107</t>
        </is>
      </c>
      <c r="B1651" s="2" t="inlineStr">
        <is>
          <t>SAL KHS 107 piezo magassugárzó, 4 Ohm/ 300 W, 8 Ohm/ 150 W, 64 x 64 mm</t>
        </is>
      </c>
      <c r="C1651" s="1" t="n">
        <v>1690.0</v>
      </c>
      <c r="D1651" s="7" t="n">
        <f>HYPERLINK("https://www.somogyi.hu/product/sal-khs-107-piezo-magassugarzo-4-ohm-300-w-8-ohm-150-w-64-x-64-mm-khs-107-2526","https://www.somogyi.hu/product/sal-khs-107-piezo-magassugarzo-4-ohm-300-w-8-ohm-150-w-64-x-64-mm-khs-107-2526")</f>
        <v>0.0</v>
      </c>
      <c r="E1651" s="7" t="n">
        <f>HYPERLINK("https://www.somogyi.hu/data/img/product_main_images/small/02526.jpg","https://www.somogyi.hu/data/img/product_main_images/small/02526.jpg")</f>
        <v>0.0</v>
      </c>
      <c r="F1651" s="2" t="inlineStr">
        <is>
          <t>5998312728383</t>
        </is>
      </c>
      <c r="G1651" s="4" t="inlineStr">
        <is>
          <t>Ha Ön is igazán professzionális zenei hangzást szeretne kialakítani, akkor nálunk garantáltan megtalálja az igényeinek megfelelő magassugárzót! 
A KHS 107 piezzo sugárzó zenei teljesítménye: Pm (4 Ω): 300 W, Pm (8 Ω): 150. Frekvencia-átvitele 5000 - 20.000 Hz tartományba esik, míg érzékenysége: 104 dB. Maximálisan megengedett feszültsége: 35 V~. Válassza a minőségi termékeket és rendeljen webáruházunkból.</t>
        </is>
      </c>
    </row>
    <row r="1652">
      <c r="A1652" s="3" t="inlineStr">
        <is>
          <t>KHS 311M</t>
        </is>
      </c>
      <c r="B1652" s="2" t="inlineStr">
        <is>
          <t>SAL KHS 311M piezo magassugárzó, 4 Ohm/ 300 W, 8 Ohm/ 150 W, 110 x 110 mm</t>
        </is>
      </c>
      <c r="C1652" s="1" t="n">
        <v>2190.0</v>
      </c>
      <c r="D1652" s="7" t="n">
        <f>HYPERLINK("https://www.somogyi.hu/product/sal-khs-311m-piezo-magassugarzo-4-ohm-300-w-8-ohm-150-w-110-x-110-mm-khs-311m-2677","https://www.somogyi.hu/product/sal-khs-311m-piezo-magassugarzo-4-ohm-300-w-8-ohm-150-w-110-x-110-mm-khs-311m-2677")</f>
        <v>0.0</v>
      </c>
      <c r="E1652" s="7" t="n">
        <f>HYPERLINK("https://www.somogyi.hu/data/img/product_main_images/small/02677.jpg","https://www.somogyi.hu/data/img/product_main_images/small/02677.jpg")</f>
        <v>0.0</v>
      </c>
      <c r="F1652" s="2" t="inlineStr">
        <is>
          <t>5998312730010</t>
        </is>
      </c>
      <c r="G1652" s="4" t="inlineStr">
        <is>
          <t>Ha Ön is igazán professzionális zenei hangzást szeretne kialakítani, akkor nálunk garantáltan megtalálja az igényeinek megfelelő magassugárzót! 
A KHS 311M piezzo sugárzó zenei teljesítménye: Pm (4 Ω): 300 W, Pm (8 Ω): 150. Frekvencia-átvitele 2000 - 20.000 Hz tartományba esik, míg érzékenysége: 93 dB. Maximálisan megengedett feszültsége: 35 V~. Válassza a minőségi termékeket és rendeljen webáruházunkból.</t>
        </is>
      </c>
    </row>
    <row r="1653">
      <c r="A1653" s="3" t="inlineStr">
        <is>
          <t>KHS 105A</t>
        </is>
      </c>
      <c r="B1653" s="2" t="inlineStr">
        <is>
          <t>SAL KHS 105A piezo magassugárzó, 4 Ohm/ 300 W, 8 Ohm/ 150 W, 85 x 85 mm</t>
        </is>
      </c>
      <c r="C1653" s="1" t="n">
        <v>1150.0</v>
      </c>
      <c r="D1653" s="7" t="n">
        <f>HYPERLINK("https://www.somogyi.hu/product/sal-khs-105a-piezo-magassugarzo-4-ohm-300-w-8-ohm-150-w-85-x-85-mm-khs-105a-1797","https://www.somogyi.hu/product/sal-khs-105a-piezo-magassugarzo-4-ohm-300-w-8-ohm-150-w-85-x-85-mm-khs-105a-1797")</f>
        <v>0.0</v>
      </c>
      <c r="E1653" s="7" t="n">
        <f>HYPERLINK("https://www.somogyi.hu/data/img/product_main_images/small/01797.jpg","https://www.somogyi.hu/data/img/product_main_images/small/01797.jpg")</f>
        <v>0.0</v>
      </c>
      <c r="F1653" s="2" t="inlineStr">
        <is>
          <t>5998312702833</t>
        </is>
      </c>
      <c r="G1653" s="4" t="inlineStr">
        <is>
          <t>Ha Ön is igazán professzionális zenei hangzást szeretne kialakítani, akkor nálunk garantáltan megtalálja az igényeinek megfelelő magassugárzót! 
A KHS 105A piezzo sugárzó zenei teljesítménye: Pm (4 Ω): 300 W, Pm (8 Ω): 150. Frekvencia-átvitele 2000 - 20.000 Hz tartományba esik, míg érzékenysége: 94 dB. Maximálisan felhasználható feszültsége: 35 V~. Válassza a minőségi termékeket és rendeljen webáruházunkból.</t>
        </is>
      </c>
    </row>
    <row r="1654">
      <c r="A1654" s="6" t="inlineStr">
        <is>
          <t xml:space="preserve">   Hangtechnika / Keverőerősítő</t>
        </is>
      </c>
      <c r="B1654" s="6" t="inlineStr">
        <is>
          <t/>
        </is>
      </c>
      <c r="C1654" s="6" t="inlineStr">
        <is>
          <t/>
        </is>
      </c>
      <c r="D1654" s="6" t="inlineStr">
        <is>
          <t/>
        </is>
      </c>
      <c r="E1654" s="6" t="inlineStr">
        <is>
          <t/>
        </is>
      </c>
      <c r="F1654" s="6" t="inlineStr">
        <is>
          <t/>
        </is>
      </c>
      <c r="G1654" s="6" t="inlineStr">
        <is>
          <t/>
        </is>
      </c>
    </row>
    <row r="1655">
      <c r="A1655" s="3" t="inlineStr">
        <is>
          <t>MPA 120BT</t>
        </is>
      </c>
      <c r="B1655" s="2" t="inlineStr">
        <is>
          <t>SAL MPA 120BT multimédiás keverő erősítő, 120 W, 6 csatorna, BT, FM rádió, USB/SD, EQ</t>
        </is>
      </c>
      <c r="C1655" s="1" t="n">
        <v>71190.0</v>
      </c>
      <c r="D1655" s="7" t="n">
        <f>HYPERLINK("https://www.somogyi.hu/product/sal-mpa-120bt-multimedias-kevero-erosito-120-w-6-csatorna-bt-fm-radio-usb-sd-eq-mpa-120bt-16861","https://www.somogyi.hu/product/sal-mpa-120bt-multimedias-kevero-erosito-120-w-6-csatorna-bt-fm-radio-usb-sd-eq-mpa-120bt-16861")</f>
        <v>0.0</v>
      </c>
      <c r="E1655" s="7" t="n">
        <f>HYPERLINK("https://www.somogyi.hu/data/img/product_main_images/small/16861.jpg","https://www.somogyi.hu/data/img/product_main_images/small/16861.jpg")</f>
        <v>0.0</v>
      </c>
      <c r="F1655" s="2" t="inlineStr">
        <is>
          <t>5999084948931</t>
        </is>
      </c>
      <c r="G1655" s="4" t="inlineStr">
        <is>
          <t>Sokoldalúan alkalmazható professzionális erősítő, amely képes akár vegyes kapcsolásban is  70/100/110/120 Voltos és hagyományos 4-8 Ohmos hangszórókat meghajtani. Ideális olyan intézményekben, ahol egyidejűleg sok vagy/és egymástól nagy távolságra elhelyezett hangsugárzót kell működtetni (pl. hivatal, iskola, rendelő, közintézmény…) A hat zónás kialakításnak köszönhetően a különböző termek, épületrészek hangosítása külön-külön kapcsolható. Ezen kívül hagyományos hangdobozokkal is használható.
Mindemellett beépített 5 + 1 csatornás keverővel és magas/mély hangszínszabályozóval rendelkezik. A mikrofon használatakor (csak MIC 2) automatikusan lehalkítja a zenét, majd a beszéd abbahagyása után az ismét felhangosodik. A hangbemondás hatékonyságát nagymértékben elősegíti a gombnyomásra megszólaló figyelemfelkeltő hangjelzés. Az erősítő alkalmas egyidejűleg akár 12-15 darab 70/100/110/120 Voltos transzformátorral felszerelt hangsugárzó (pl. WAS, CES széria) működtetésére. Audio kimenetére további erősítő kapcsolható, így tetszőlegesen bővíthető hangrendszer építhető ki.</t>
        </is>
      </c>
    </row>
    <row r="1656">
      <c r="A1656" s="3" t="inlineStr">
        <is>
          <t>MPA 240BT</t>
        </is>
      </c>
      <c r="B1656" s="2" t="inlineStr">
        <is>
          <t>SAL MPA 240BT multimédiás keverő erősítő, 240 W, 6 csatorna, BT, FM rádió, USB/SD, EQ</t>
        </is>
      </c>
      <c r="C1656" s="1" t="n">
        <v>97390.0</v>
      </c>
      <c r="D1656" s="7" t="n">
        <f>HYPERLINK("https://www.somogyi.hu/product/sal-mpa-240bt-multimedias-kevero-erosito-240-w-6-csatorna-bt-fm-radio-usb-sd-eq-mpa-240bt-15864","https://www.somogyi.hu/product/sal-mpa-240bt-multimedias-kevero-erosito-240-w-6-csatorna-bt-fm-radio-usb-sd-eq-mpa-240bt-15864")</f>
        <v>0.0</v>
      </c>
      <c r="E1656" s="7" t="n">
        <f>HYPERLINK("https://www.somogyi.hu/data/img/product_main_images/small/15864.jpg","https://www.somogyi.hu/data/img/product_main_images/small/15864.jpg")</f>
        <v>0.0</v>
      </c>
      <c r="F1656" s="2" t="inlineStr">
        <is>
          <t>5999084938987</t>
        </is>
      </c>
      <c r="G1656" s="4" t="inlineStr">
        <is>
          <t>Az MPA 240BT egy több funkciós keverő + erősítő egyben, amely használható hagyományos és 100 Voltos hangrendszerekhez egyaránt.  Vezeték nélküli BT kapcsolat, MP3 (USB,SD) lejátszó funkció is elérhető rajta. A készülék 2 db mikrofon (6,3 mm) + 3 db sztereó (2 x RCA) audió bemenettel rendelkezik. Mindemellett mono kimenettel is el van látva további erősítők számára. 
Kifejezetten ideális olyan intézményekben, ahol egyidejűleg sok vagy egymástól nagy távolságra elhelyezett hangsugárzót kell működtetni (pl. közintézmények). A hangszórók 6 külön kapcsolható csoportba köthetőek, ennek köszönhetően más-más termek, épületrészek hangrendszerei is külön aktiválhatók. Ezen kívül hagyományos hangdobozokkal is használható.
Tápellátása: 230 V AC/50 Hz/400 W. Mérete: 480 x 95 x 380 mm. Válassza a minőségi termékeket és rendeljen webáruházunkból.</t>
        </is>
      </c>
    </row>
    <row r="1657">
      <c r="A1657" s="6" t="inlineStr">
        <is>
          <t xml:space="preserve">   Hangtechnika / Speciális hangszóró, hangdoboz</t>
        </is>
      </c>
      <c r="B1657" s="6" t="inlineStr">
        <is>
          <t/>
        </is>
      </c>
      <c r="C1657" s="6" t="inlineStr">
        <is>
          <t/>
        </is>
      </c>
      <c r="D1657" s="6" t="inlineStr">
        <is>
          <t/>
        </is>
      </c>
      <c r="E1657" s="6" t="inlineStr">
        <is>
          <t/>
        </is>
      </c>
      <c r="F1657" s="6" t="inlineStr">
        <is>
          <t/>
        </is>
      </c>
      <c r="G1657" s="6" t="inlineStr">
        <is>
          <t/>
        </is>
      </c>
    </row>
    <row r="1658">
      <c r="A1658" s="3" t="inlineStr">
        <is>
          <t>CES 3</t>
        </is>
      </c>
      <c r="B1658" s="2" t="inlineStr">
        <is>
          <t>SAL CES 3 mennyezeti hangszóró, 10 W terhelhetőség, 110 V-os transzformátor, 8 Ohm impedancia</t>
        </is>
      </c>
      <c r="C1658" s="1" t="n">
        <v>11890.0</v>
      </c>
      <c r="D1658" s="7" t="n">
        <f>HYPERLINK("https://www.somogyi.hu/product/sal-ces-3-mennyezeti-hangszoro-10-w-terhelhetoseg-110-v-os-transzformator-8-ohm-impedancia-ces-3-2731","https://www.somogyi.hu/product/sal-ces-3-mennyezeti-hangszoro-10-w-terhelhetoseg-110-v-os-transzformator-8-ohm-impedancia-ces-3-2731")</f>
        <v>0.0</v>
      </c>
      <c r="E1658" s="7" t="n">
        <f>HYPERLINK("https://www.somogyi.hu/data/img/product_main_images/small/02731.jpg","https://www.somogyi.hu/data/img/product_main_images/small/02731.jpg")</f>
        <v>0.0</v>
      </c>
      <c r="F1658" s="2" t="inlineStr">
        <is>
          <t>5998312730553</t>
        </is>
      </c>
      <c r="G1658" s="4" t="inlineStr">
        <is>
          <t>Praktikus, mennyezetbe süllyeszthető hangszóró! A beépített 110 V-os transzformátorral ellátott CES 3 zenei terhelhetősége: 10 W-os, frekvencia átvitele: 50 – 18.000 Hz. A hangsugárzó: 165 mm. Beépítési mérete: 190 x 85 mm. Válassza a minőségi termékeket és rendeljen webáruházunkból.</t>
        </is>
      </c>
    </row>
    <row r="1659">
      <c r="A1659" s="3" t="inlineStr">
        <is>
          <t>MRPX 2-130</t>
        </is>
      </c>
      <c r="B1659" s="2" t="inlineStr">
        <is>
          <t>SAL MRPX 2-130 vízálló hangszóró pár, 2 x 50 W, 150 mm, 4 Ohm, 2 utas</t>
        </is>
      </c>
      <c r="C1659" s="1" t="n">
        <v>13090.0</v>
      </c>
      <c r="D1659" s="7" t="n">
        <f>HYPERLINK("https://www.somogyi.hu/product/sal-mrpx-2-130-vizallo-hangszoro-par-2-x-50-w-150-mm-4-ohm-2-utas-mrpx-2-130-14583","https://www.somogyi.hu/product/sal-mrpx-2-130-vizallo-hangszoro-par-2-x-50-w-150-mm-4-ohm-2-utas-mrpx-2-130-14583")</f>
        <v>0.0</v>
      </c>
      <c r="E1659" s="7" t="n">
        <f>HYPERLINK("https://www.somogyi.hu/data/img/product_main_images/small/14583.jpg","https://www.somogyi.hu/data/img/product_main_images/small/14583.jpg")</f>
        <v>0.0</v>
      </c>
      <c r="F1659" s="2" t="inlineStr">
        <is>
          <t>5999084926250</t>
        </is>
      </c>
      <c r="G1659" s="4" t="inlineStr">
        <is>
          <t>A legkomfortosabb környezetben se nélkülözze az ideális zenei élményt! Az vízálló hangszórópár ideális nedves, párás környezetben történő használatra, mint pl. infraszauna, uszoda, fürdő, terasz, lakóautó, vagy hajó.
Az MRPX 2-130 polipropilén kónusszal ellátott 2 utas koaxális konstrukció, amelynek zenei terhelhetősége: 100 W (2 x 50 W), frekvencia átvitele: 75 - 20.00 Hz, míg érzékenysége: 86 dB. A hangsugárzó: 130 mm. Válassza a minőségi termékeket és rendeljen webáruházunkból.</t>
        </is>
      </c>
    </row>
    <row r="1660">
      <c r="A1660" s="3" t="inlineStr">
        <is>
          <t>CES 165</t>
        </is>
      </c>
      <c r="B1660" s="2" t="inlineStr">
        <is>
          <t>SAL CES 165 2 utas mennyezeti hangszóró, 10 W terhelhetőség, 2 utas, 110 V-os transzformátor, 8 Ohm impedancia</t>
        </is>
      </c>
      <c r="C1660" s="1" t="n">
        <v>11990.0</v>
      </c>
      <c r="D1660" s="7" t="n">
        <f>HYPERLINK("https://www.somogyi.hu/product/sal-ces-165-2-utas-mennyezeti-hangszoro-10-w-terhelhetoseg-2-utas-110-v-os-transzformator-8-ohm-impedancia-ces-165-16862","https://www.somogyi.hu/product/sal-ces-165-2-utas-mennyezeti-hangszoro-10-w-terhelhetoseg-2-utas-110-v-os-transzformator-8-ohm-impedancia-ces-165-16862")</f>
        <v>0.0</v>
      </c>
      <c r="E1660" s="7" t="n">
        <f>HYPERLINK("https://www.somogyi.hu/data/img/product_main_images/small/16862.jpg","https://www.somogyi.hu/data/img/product_main_images/small/16862.jpg")</f>
        <v>0.0</v>
      </c>
      <c r="F1660" s="2" t="inlineStr">
        <is>
          <t>5999084948948</t>
        </is>
      </c>
      <c r="G1660" s="4" t="inlineStr">
        <is>
          <t>A CES 165 Mennyezeti hangszóró 2- utas rendszer, amely mély- és magassugárzóval ellátott. 3 féle hangerőszint szerint csatlakoztathatja: 2,5 W- 5W- 10W. Maximum 10 w-ig terhelhető. A hangszóró beépített 110 V- os transzformátorral ellátott. 
A hangsugárzók 165 mm és 25 mm átmérővel rendelkeznek. További tulajdonságai: Impedencia 8 Ohm, frekvencia átvitel 80-20.000 Hz, beépítési mérete 206 x 70 mm átmérő.
A mennyezeti hangszóró számos helyre beépíthető, mint például bevásárló központokba, mosdókba, üzlethelységekbe, éttermekbe.</t>
        </is>
      </c>
    </row>
    <row r="1661">
      <c r="A1661" s="3" t="inlineStr">
        <is>
          <t>MRPX 2-165</t>
        </is>
      </c>
      <c r="B1661" s="2" t="inlineStr">
        <is>
          <t>SAL MRPX 2-165 vízálló hangszóró pár, 2 x 75 W, 180 mm, 4 Ohm, 2 utas</t>
        </is>
      </c>
      <c r="C1661" s="1" t="n">
        <v>14990.0</v>
      </c>
      <c r="D1661" s="7" t="n">
        <f>HYPERLINK("https://www.somogyi.hu/product/sal-mrpx-2-165-vizallo-hangszoro-par-2-x-75-w-180-mm-4-ohm-2-utas-mrpx-2-165-14584","https://www.somogyi.hu/product/sal-mrpx-2-165-vizallo-hangszoro-par-2-x-75-w-180-mm-4-ohm-2-utas-mrpx-2-165-14584")</f>
        <v>0.0</v>
      </c>
      <c r="E1661" s="7" t="n">
        <f>HYPERLINK("https://www.somogyi.hu/data/img/product_main_images/small/14584.jpg","https://www.somogyi.hu/data/img/product_main_images/small/14584.jpg")</f>
        <v>0.0</v>
      </c>
      <c r="F1661" s="2" t="inlineStr">
        <is>
          <t>5999084926267</t>
        </is>
      </c>
      <c r="G1661" s="4" t="inlineStr">
        <is>
          <t>A legkomfortosabb környezetben se nélkülözze az ideális zenei élményt! Az vízálló hangszórópár ideális nedves, párás környezetben történő használatra, mint pl. infraszauna, uszoda, fürdő, terasz, lakóautó, vagy hajó.
Az MRPX 2-165 polipropilén kónusszal ellátott 2 utas koaxális konstrukció, amelynek zenei terhelhetősége: 150 W (2 x 75 W), frekvencia átvitele: 50 - 20.000 Hz, míg érzékenysége: 87 dB. A hangsugárzó: 165 mm. Válassza a minőségi termékeket és rendeljen webáruházunkból.</t>
        </is>
      </c>
    </row>
    <row r="1662">
      <c r="A1662" s="3" t="inlineStr">
        <is>
          <t>WAS 2</t>
        </is>
      </c>
      <c r="B1662" s="2" t="inlineStr">
        <is>
          <t>SAL WAS 2 falra szerelhető hangdoboz, 10 W, 110 V-os transzformátor, 8 Ohm impedancia</t>
        </is>
      </c>
      <c r="C1662" s="1" t="n">
        <v>13390.0</v>
      </c>
      <c r="D1662" s="7" t="n">
        <f>HYPERLINK("https://www.somogyi.hu/product/sal-was-2-falra-szerelheto-hangdoboz-10-w-110-v-os-transzformator-8-ohm-impedancia-was-2-4175","https://www.somogyi.hu/product/sal-was-2-falra-szerelheto-hangdoboz-10-w-110-v-os-transzformator-8-ohm-impedancia-was-2-4175")</f>
        <v>0.0</v>
      </c>
      <c r="E1662" s="7" t="n">
        <f>HYPERLINK("https://www.somogyi.hu/data/img/product_main_images/small/04175.jpg","https://www.somogyi.hu/data/img/product_main_images/small/04175.jpg")</f>
        <v>0.0</v>
      </c>
      <c r="F1662" s="2" t="inlineStr">
        <is>
          <t>5998312737064</t>
        </is>
      </c>
      <c r="G1662" s="4" t="inlineStr">
        <is>
          <t>Praktikus, falra szerelhető hangdoboz! A beépített 110 V-os transzformátorral ellátott WAS 2 zenei terhelhetősége: 10 W, frekvencia átvitele: 50 – 18.000 Hz. A hangsugárzó: 165 mm. Beépítési mérete: 275 x 200 x 110 mm. Válassza a minőségi termékeket és rendeljen webáruházunkból.</t>
        </is>
      </c>
    </row>
    <row r="1663">
      <c r="A1663" s="6" t="inlineStr">
        <is>
          <t xml:space="preserve">   Hangtechnika / Mikrofon</t>
        </is>
      </c>
      <c r="B1663" s="6" t="inlineStr">
        <is>
          <t/>
        </is>
      </c>
      <c r="C1663" s="6" t="inlineStr">
        <is>
          <t/>
        </is>
      </c>
      <c r="D1663" s="6" t="inlineStr">
        <is>
          <t/>
        </is>
      </c>
      <c r="E1663" s="6" t="inlineStr">
        <is>
          <t/>
        </is>
      </c>
      <c r="F1663" s="6" t="inlineStr">
        <is>
          <t/>
        </is>
      </c>
      <c r="G1663" s="6" t="inlineStr">
        <is>
          <t/>
        </is>
      </c>
    </row>
    <row r="1664">
      <c r="A1664" s="3" t="inlineStr">
        <is>
          <t>M 12</t>
        </is>
      </c>
      <c r="B1664" s="2" t="inlineStr">
        <is>
          <t>SAL M 12 stúdiómikrofon-szett, stabil asztali állvány, rezgéscsillapított, kondenzátormikrofon, kardioid iránykarakterisztika, XLR</t>
        </is>
      </c>
      <c r="C1664" s="1" t="n">
        <v>9490.0</v>
      </c>
      <c r="D1664" s="7" t="n">
        <f>HYPERLINK("https://www.somogyi.hu/product/sal-m-12-studiomikrofon-szett-stabil-asztali-allvany-rezgescsillapitott-kondenzatormikrofon-kardioid-iranykarakterisztika-xlr-m-12-17305","https://www.somogyi.hu/product/sal-m-12-studiomikrofon-szett-stabil-asztali-allvany-rezgescsillapitott-kondenzatormikrofon-kardioid-iranykarakterisztika-xlr-m-12-17305")</f>
        <v>0.0</v>
      </c>
      <c r="E1664" s="7" t="n">
        <f>HYPERLINK("https://www.somogyi.hu/data/img/product_main_images/small/17305.jpg","https://www.somogyi.hu/data/img/product_main_images/small/17305.jpg")</f>
        <v>0.0</v>
      </c>
      <c r="F1664" s="2" t="inlineStr">
        <is>
          <t>5999084953270</t>
        </is>
      </c>
      <c r="G1664" s="4" t="inlineStr">
        <is>
          <t xml:space="preserve"> • funkció/kialakítás: kondenzátor 
 • impedancia: 150 Ohm  ± 30% (1 kHz) 
 • frekvenciaátvitel: 20 - 20.000 Hz 
 • markolat: fém 
 • eltávolítható csatlakozókábel: igen 
 • kábelhossz: ~2,4 m 
 • csatlakozódugó: XLR 
 • tápellátás: külső tápfeszültséget (fantom táp) igényel 
 • tartozék: XLR aljzat / 3p-3,5mm dugó csatlakozókábel (~2,4m) 
 • méret: Ø46 x 155 mm / 200g</t>
        </is>
      </c>
    </row>
    <row r="1665">
      <c r="A1665" s="3" t="inlineStr">
        <is>
          <t>HT 810</t>
        </is>
      </c>
      <c r="B1665" s="2" t="inlineStr">
        <is>
          <t>SAL HT 810 mikrofonállvány, 100-155 cm magasság, 25-35 mm átmérőjű mikrofonmarkolat, csúszásgátló lábak</t>
        </is>
      </c>
      <c r="C1665" s="1" t="n">
        <v>15890.0</v>
      </c>
      <c r="D1665" s="7" t="n">
        <f>HYPERLINK("https://www.somogyi.hu/product/sal-ht-810-mikrofonallvany-100-155-cm-magassag-25-35-mm-atmeroju-mikrofonmarkolat-csuszasgatlo-labak-ht-810-15716","https://www.somogyi.hu/product/sal-ht-810-mikrofonallvany-100-155-cm-magassag-25-35-mm-atmeroju-mikrofonmarkolat-csuszasgatlo-labak-ht-810-15716")</f>
        <v>0.0</v>
      </c>
      <c r="E1665" s="7" t="n">
        <f>HYPERLINK("https://www.somogyi.hu/data/img/product_main_images/small/15716.jpg","https://www.somogyi.hu/data/img/product_main_images/small/15716.jpg")</f>
        <v>0.0</v>
      </c>
      <c r="F1665" s="2" t="inlineStr">
        <is>
          <t>5999084937508</t>
        </is>
      </c>
      <c r="G1665" s="4" t="inlineStr">
        <is>
          <t>A HT 810 mikrofon állvány (2in1) két tartórúddal lett ellátva. Előnye, hogy könnyű, stabil konstrukcióval rendelkezik. Lábai csúszásgátlóval ellátottak. Magassága beállítható: kb. 100-160 cm. Válassza a minőségi termékeket és rendeljen webáruházunkból!</t>
        </is>
      </c>
    </row>
    <row r="1666">
      <c r="A1666" s="3" t="inlineStr">
        <is>
          <t>M 8</t>
        </is>
      </c>
      <c r="B1666" s="2" t="inlineStr">
        <is>
          <t>SAL M 8 kézi mikrofon, dinamikus mikrofon, kardioid iránykarakterisztika, fém XLR csatlakozódugó és kábel</t>
        </is>
      </c>
      <c r="C1666" s="1" t="n">
        <v>9590.0</v>
      </c>
      <c r="D1666" s="7" t="n">
        <f>HYPERLINK("https://www.somogyi.hu/product/sal-m-8-kezi-mikrofon-dinamikus-mikrofon-kardioid-iranykarakterisztika-fem-xlr-csatlakozodugo-es-kabel-m-8-14998","https://www.somogyi.hu/product/sal-m-8-kezi-mikrofon-dinamikus-mikrofon-kardioid-iranykarakterisztika-fem-xlr-csatlakozodugo-es-kabel-m-8-14998")</f>
        <v>0.0</v>
      </c>
      <c r="E1666" s="7" t="n">
        <f>HYPERLINK("https://www.somogyi.hu/data/img/product_main_images/small/14998.jpg","https://www.somogyi.hu/data/img/product_main_images/small/14998.jpg")</f>
        <v>0.0</v>
      </c>
      <c r="F1666" s="2" t="inlineStr">
        <is>
          <t>5999084930325</t>
        </is>
      </c>
      <c r="G1666" s="4" t="inlineStr">
        <is>
          <t>Keresse nálunk a megbízható kiváló hangzású kézi mikrofonokat! Az M 8-as egy igazán dinamikus mikrofon, amely tökéletesen megfelel a professzionális hangosítási célokra is. A markolatán található a be- és ki kapcsoló gomb. A termék alkalmazható mikrofon-bemenettel rendelkező készülékekhez. Mindemellett hosszú, eltávolítató XLR csatlakozókábellel van ellátva. Csatlakozó dugói egyaránt masszív fémből vannak (fém markolata teljes egészében kézre álló). Válassza a minőségi termékeket és rendeljen webáruházunkból.</t>
        </is>
      </c>
    </row>
    <row r="1667">
      <c r="A1667" s="3" t="inlineStr">
        <is>
          <t>M 41</t>
        </is>
      </c>
      <c r="B1667" s="2" t="inlineStr">
        <is>
          <t>SAL M 41 kézi mikrofon, kardioid iránykarakterisztika, dinamikus mikrofon</t>
        </is>
      </c>
      <c r="C1667" s="1" t="n">
        <v>2190.0</v>
      </c>
      <c r="D1667" s="7" t="n">
        <f>HYPERLINK("https://www.somogyi.hu/product/sal-m-41-kezi-mikrofon-kardioid-iranykarakterisztika-dinamikus-mikrofon-m-41-14995","https://www.somogyi.hu/product/sal-m-41-kezi-mikrofon-kardioid-iranykarakterisztika-dinamikus-mikrofon-m-41-14995")</f>
        <v>0.0</v>
      </c>
      <c r="E1667" s="7" t="n">
        <f>HYPERLINK("https://www.somogyi.hu/data/img/product_main_images/small/14995.jpg","https://www.somogyi.hu/data/img/product_main_images/small/14995.jpg")</f>
        <v>0.0</v>
      </c>
      <c r="F1667" s="2" t="inlineStr">
        <is>
          <t>5999084930295</t>
        </is>
      </c>
      <c r="G1667" s="4" t="inlineStr">
        <is>
          <t>Keresse nálunk a megbízható kiváló hangzású kézi mikrofonokat! Az M 41-es egy igazán dinamikus mikrofon, amely tökéletesen megfelel az általános hangosítási célokra. A markolatán található a be- és ki kapcsoló gomb. A termék alkalmazható mikrofon-bemenettel rendelkező készülékekhez. Előnye, hogy kis súllyal, hajlékony csatlakozókábellel van el látva. Válassza a minőségi termékeket és rendeljen webáruházunkból.</t>
        </is>
      </c>
    </row>
    <row r="1668">
      <c r="A1668" s="3" t="inlineStr">
        <is>
          <t>M 61</t>
        </is>
      </c>
      <c r="B1668" s="2" t="inlineStr">
        <is>
          <t>SAL M 61 kézi mikrofon, kardioid iránykarakterisztika, XLR csatlakozókábel</t>
        </is>
      </c>
      <c r="C1668" s="1" t="n">
        <v>3190.0</v>
      </c>
      <c r="D1668" s="7" t="n">
        <f>HYPERLINK("https://www.somogyi.hu/product/sal-m-61-kezi-mikrofon-kardioid-iranykarakterisztika-xlr-csatlakozokabel-m-61-14996","https://www.somogyi.hu/product/sal-m-61-kezi-mikrofon-kardioid-iranykarakterisztika-xlr-csatlakozokabel-m-61-14996")</f>
        <v>0.0</v>
      </c>
      <c r="E1668" s="7" t="n">
        <f>HYPERLINK("https://www.somogyi.hu/data/img/product_main_images/small/14996.jpg","https://www.somogyi.hu/data/img/product_main_images/small/14996.jpg")</f>
        <v>0.0</v>
      </c>
      <c r="F1668" s="2" t="inlineStr">
        <is>
          <t>5999084930301</t>
        </is>
      </c>
      <c r="G1668" s="4" t="inlineStr">
        <is>
          <t>Keresse nálunk a megbízható kiváló hangzású kézi mikrofonokat! Az M 61-es egy igazán dinamikus mikrofon, amely tökéletesen megfelel az általános hangosítási célokra. A markolatán található a be- és ki kapcsoló gomb. A termék alkalmazható mikrofon-bemenettel rendelkező készülékekhez. Mindemellett hosszú, eltávolítató XLR csatlakozókábellel van ellátva. Válassza a minőségi termékeket és rendeljen webáruházunkból.</t>
        </is>
      </c>
    </row>
    <row r="1669">
      <c r="A1669" s="3" t="inlineStr">
        <is>
          <t>M 11</t>
        </is>
      </c>
      <c r="B1669" s="2" t="inlineStr">
        <is>
          <t>SAL M 11 asztali mikrofon, elektret kondenzátor, kardioid iránykarakterisztika, XLR</t>
        </is>
      </c>
      <c r="C1669" s="1" t="n">
        <v>15290.0</v>
      </c>
      <c r="D1669" s="7" t="n">
        <f>HYPERLINK("https://www.somogyi.hu/product/sal-m-11-asztali-mikrofon-elektret-kondenzator-kardioid-iranykarakterisztika-xlr-m-11-15301","https://www.somogyi.hu/product/sal-m-11-asztali-mikrofon-elektret-kondenzator-kardioid-iranykarakterisztika-xlr-m-11-15301")</f>
        <v>0.0</v>
      </c>
      <c r="E1669" s="7" t="n">
        <f>HYPERLINK("https://www.somogyi.hu/data/img/product_main_images/small/15301.jpg","https://www.somogyi.hu/data/img/product_main_images/small/15301.jpg")</f>
        <v>0.0</v>
      </c>
      <c r="F1669" s="2" t="inlineStr">
        <is>
          <t>5999084933357</t>
        </is>
      </c>
      <c r="G1669" s="4" t="inlineStr">
        <is>
          <t>Professzionális asztali mikrofont keres? Ez esetben a legjobb helyen jár. A termék használható mikrofonbemenettel rendelkező készülékekhez. Továbbá LED visszajelzővel lett ellátva a talpon,valamint LED visszajelző gyűrűvel a száron.
A be/ki kapcsoló gomb a talapzatban található.
A mikrofonra kardioid iránykarakterisztika jellemző, valamint egy extra hosszú, 5 méteres, eltávolítható csatlakozókábel tartozik hozzá. Kettős tápellátás jellemzi: elem vagy +48 V fantom feszültség. Válassza a minőségi termékeket és rendeljen webáruházunkból!</t>
        </is>
      </c>
    </row>
    <row r="1670">
      <c r="A1670" s="6" t="inlineStr">
        <is>
          <t xml:space="preserve">   Hangtechnika / Vezeték nélküli mikrofon</t>
        </is>
      </c>
      <c r="B1670" s="6" t="inlineStr">
        <is>
          <t/>
        </is>
      </c>
      <c r="C1670" s="6" t="inlineStr">
        <is>
          <t/>
        </is>
      </c>
      <c r="D1670" s="6" t="inlineStr">
        <is>
          <t/>
        </is>
      </c>
      <c r="E1670" s="6" t="inlineStr">
        <is>
          <t/>
        </is>
      </c>
      <c r="F1670" s="6" t="inlineStr">
        <is>
          <t/>
        </is>
      </c>
      <c r="G1670" s="6" t="inlineStr">
        <is>
          <t/>
        </is>
      </c>
    </row>
    <row r="1671">
      <c r="A1671" s="3" t="inlineStr">
        <is>
          <t>MVN 300</t>
        </is>
      </c>
      <c r="B1671" s="2" t="inlineStr">
        <is>
          <t>SAL MVN 300 vezeték nélküli mikrofonszett, digitális zajszűrés, 20 csatorna, ~40 m hatótáv, UHF frekvenciasáv</t>
        </is>
      </c>
      <c r="C1671" s="1" t="n">
        <v>21090.0</v>
      </c>
      <c r="D1671" s="7" t="n">
        <f>HYPERLINK("https://www.somogyi.hu/product/sal-mvn-300-vezetek-nelkuli-mikrofonszett-digitalis-zajszures-20-csatorna-40-m-hatotav-uhf-frekvenciasav-mvn-300-17168","https://www.somogyi.hu/product/sal-mvn-300-vezetek-nelkuli-mikrofonszett-digitalis-zajszures-20-csatorna-40-m-hatotav-uhf-frekvenciasav-mvn-300-17168")</f>
        <v>0.0</v>
      </c>
      <c r="E1671" s="7" t="n">
        <f>HYPERLINK("https://www.somogyi.hu/data/img/product_main_images/small/17168.jpg","https://www.somogyi.hu/data/img/product_main_images/small/17168.jpg")</f>
        <v>0.0</v>
      </c>
      <c r="F1671" s="2" t="inlineStr">
        <is>
          <t>5999084952006</t>
        </is>
      </c>
      <c r="G1671" s="4" t="inlineStr">
        <is>
          <t xml:space="preserve"> • hatótávolság: hatótávolság nyílt terepen: ~40 m 
 • működési frekvencia: 550-565,2 MHz 
 • teljesítmény: &lt; 10 mW 
 • audió átviteli tartomány: 50 - 18000 Hz 
 • dinamikatartomány: &gt; 120 dB 
 • THD: &lt; 0,5 % 
 • audió kimenet: 0 - 500 mV 
 • megengedett környezeti hőmérséklet: 0 - 35 °C 
 • csatlakozások: ∅6,3 mm dugó mikrofon kimenet a vevő egységen 
 • szett tartalma: vezeték nélküli mikrofon / vevőegység / USB - microUSB töltőkábel (~1,0 m) 
 • tápellátás: mikrofon: 2 x AA (1,5 V) elem, nem tartozék / vevőegység: beépített akkumulátor (500 mAh Li-Ion) 
 • méret: mikrofon: ∅50/33 x 240 mm / vevőegység: ~80 x 42 x 17 mm</t>
        </is>
      </c>
    </row>
    <row r="1672">
      <c r="A1672" s="3" t="inlineStr">
        <is>
          <t>MVN 910</t>
        </is>
      </c>
      <c r="B1672" s="2" t="inlineStr">
        <is>
          <t>SAL MVN 910 vezeték nélküli mikrofonszett, digitális zajszűrés, 2x100 csatorna, ~140 m hatótáv, UHF frekvenciasáv, rack kompatibilis</t>
        </is>
      </c>
      <c r="C1672" s="1" t="n">
        <v>79990.0</v>
      </c>
      <c r="D1672" s="7" t="n">
        <f>HYPERLINK("https://www.somogyi.hu/product/sal-mvn-910-vezetek-nelkuli-mikrofonszett-digitalis-zajszures-2x100-csatorna-140-m-hatotav-uhf-frekvenciasav-rack-kompatibilis-mvn-910-17304","https://www.somogyi.hu/product/sal-mvn-910-vezetek-nelkuli-mikrofonszett-digitalis-zajszures-2x100-csatorna-140-m-hatotav-uhf-frekvenciasav-rack-kompatibilis-mvn-910-17304")</f>
        <v>0.0</v>
      </c>
      <c r="E1672" s="7" t="n">
        <f>HYPERLINK("https://www.somogyi.hu/data/img/product_main_images/small/17304.jpg","https://www.somogyi.hu/data/img/product_main_images/small/17304.jpg")</f>
        <v>0.0</v>
      </c>
      <c r="F1672" s="2" t="inlineStr">
        <is>
          <t>5999084953263</t>
        </is>
      </c>
      <c r="G1672" s="4" t="inlineStr">
        <is>
          <t xml:space="preserve"> • hatótávolság: 140 m (nyílt terepen) 
 • működési frekvencia: UHF   ~518 – 690 MHz nom. 
 • teljesítmény: &lt; 10 mW 
 • RF jel/zaj viszony: 105 dB 
 • audió átviteli tartomány: 50 - 18000 Hz 
 • dinamikatartomány: &gt;120 dB 
 • THD: &lt; 0,5 % 
 • audió kimenet: ~ 500 mV 
 • megengedett környezeti hőmérséklet: 0 °C… 35 °C 
 • csatlakozások: 2x szimmetrikus XLR audio kimenet, 6,3mm összegzett audio kimenet 
 • szett tartalma: 2 db kézi mikrofon, vevő, Ø6,3 mm - Ø6,3 mm audio csatlakozókábel, hálózati adapter, szerelvények, színjelölő gyűrűk 
 • tápellátás: mikrofon: 2 x AA elem (nem tartozék), vevő: 230 V~ (adapter) 
 • méret: mikrofon: Ø50 / 35 x 265 mm, vevő: 420 x 55 x 220 mm 
 • súly: mikrofon: 2 x 320 g, vevő: 1550 g</t>
        </is>
      </c>
    </row>
    <row r="1673">
      <c r="A1673" s="6" t="inlineStr">
        <is>
          <t xml:space="preserve">   Hangtechnika / Fejhallgató, fülhallgató</t>
        </is>
      </c>
      <c r="B1673" s="6" t="inlineStr">
        <is>
          <t/>
        </is>
      </c>
      <c r="C1673" s="6" t="inlineStr">
        <is>
          <t/>
        </is>
      </c>
      <c r="D1673" s="6" t="inlineStr">
        <is>
          <t/>
        </is>
      </c>
      <c r="E1673" s="6" t="inlineStr">
        <is>
          <t/>
        </is>
      </c>
      <c r="F1673" s="6" t="inlineStr">
        <is>
          <t/>
        </is>
      </c>
      <c r="G1673" s="6" t="inlineStr">
        <is>
          <t/>
        </is>
      </c>
    </row>
    <row r="1674">
      <c r="A1674" s="3" t="inlineStr">
        <is>
          <t>SABT 31</t>
        </is>
      </c>
      <c r="B1674" s="2" t="inlineStr">
        <is>
          <t>SAL SABT 31 fülhallgató autós töltővel, 3 in 1, mono headset, 3,1 A gyorstöltő, ~2 óra üzemidő</t>
        </is>
      </c>
      <c r="C1674" s="1" t="n">
        <v>2890.0</v>
      </c>
      <c r="D1674" s="7" t="n">
        <f>HYPERLINK("https://www.somogyi.hu/product/sal-sabt-31-fulhallgato-autos-toltovel-3-in-1-mono-headset-3-1-a-gyorstolto-2-ora-uzemido-sabt-31-17127","https://www.somogyi.hu/product/sal-sabt-31-fulhallgato-autos-toltovel-3-in-1-mono-headset-3-1-a-gyorstolto-2-ora-uzemido-sabt-31-17127")</f>
        <v>0.0</v>
      </c>
      <c r="E1674" s="7" t="n">
        <f>HYPERLINK("https://www.somogyi.hu/data/img/product_main_images/small/17127.jpg","https://www.somogyi.hu/data/img/product_main_images/small/17127.jpg")</f>
        <v>0.0</v>
      </c>
      <c r="F1674" s="2" t="inlineStr">
        <is>
          <t>5999084951597</t>
        </is>
      </c>
      <c r="G1674" s="4" t="inlineStr">
        <is>
          <t xml:space="preserve"> • vezeték nélküli: igen 
 • hatótávolság: max. 10 m 
 • színe: fehér 
 • fülbe helyezhető: igen 
 • impedancia: 32 Ohm 
 • érzékenység: 96 dB 
 • teljesítmény: max. 40 mW 
 • frekvenciaátvitel: 20 - 20.000 Hz 
 • beépített mikrofon: igen 
 • vezeték nélküli BT kapcsolat: igen 
 • hívásfogadás: igen 
 • üzemidő: készenlét 24 óra • lejátszás ~105 perc • beszéd ~140 perc</t>
        </is>
      </c>
    </row>
    <row r="1675">
      <c r="A1675" s="3" t="inlineStr">
        <is>
          <t>EDC 4052</t>
        </is>
      </c>
      <c r="B1675" s="2" t="inlineStr">
        <is>
          <t>Motorola Vervebuds 110 fülhallgató</t>
        </is>
      </c>
      <c r="C1675" s="1" t="n">
        <v>20490.0</v>
      </c>
      <c r="D1675" s="7" t="n">
        <f>HYPERLINK("https://www.somogyi.hu/product/motorola-vervebuds-110-fulhallgato-edc-4052-17645","https://www.somogyi.hu/product/motorola-vervebuds-110-fulhallgato-edc-4052-17645")</f>
        <v>0.0</v>
      </c>
      <c r="E1675" s="7" t="n">
        <f>HYPERLINK("https://www.somogyi.hu/data/img/product_main_images/small/17645.jpg","https://www.somogyi.hu/data/img/product_main_images/small/17645.jpg")</f>
        <v>0.0</v>
      </c>
      <c r="F1675" s="2" t="inlineStr">
        <is>
          <t>5012786040526</t>
        </is>
      </c>
      <c r="G1675" s="4" t="inlineStr">
        <is>
          <t xml:space="preserve"> • vezeték nélküli: igen 
 • színe: fehér 
 • fülbe helyezhető: igen 
 • beépített mikrofon: igen 
 • vezeték nélküli BT kapcsolat: BT 5.0 
 • üzemidő: 25 óra standby üzemidő • 4,5 óra zenehallgatás • 3,5 óra beszélgetés 
 • anyaga: műanyag 
 • tartozék: USB töltőkábel (adapter nem tartozék), 3 pár különböző méretű fülilleszték 
 • tápellátás: beépített akkumulátor</t>
        </is>
      </c>
    </row>
    <row r="1676">
      <c r="A1676" s="3" t="inlineStr">
        <is>
          <t>EP 8/BL</t>
        </is>
      </c>
      <c r="B1676" s="2" t="inlineStr">
        <is>
          <t>Sztereó fülhallgató, fülgumival</t>
        </is>
      </c>
      <c r="C1676" s="1" t="n">
        <v>1190.0</v>
      </c>
      <c r="D1676" s="7" t="n">
        <f>HYPERLINK("https://www.somogyi.hu/product/sztereo-fulhallgato-fulgumival-ep-8-bl-13009","https://www.somogyi.hu/product/sztereo-fulhallgato-fulgumival-ep-8-bl-13009")</f>
        <v>0.0</v>
      </c>
      <c r="E1676" s="7" t="n">
        <f>HYPERLINK("https://www.somogyi.hu/data/img/product_main_images/small/13009.jpg","https://www.somogyi.hu/data/img/product_main_images/small/13009.jpg")</f>
        <v>0.0</v>
      </c>
      <c r="F1676" s="2" t="inlineStr">
        <is>
          <t>5999084911904</t>
        </is>
      </c>
      <c r="G1676" s="4" t="inlineStr">
        <is>
          <t>Ne csak a kiváló hangzásra, hanem a kényelmes viseletre is figyeljen, amikor fülhallgató vásárlását tervezi. Nem mellesleg az EP 8/BL rendkívül divatos kék színben kapható.
A készülék 1,1 m-es vezetékhosszal és 3,5 mm-es csatlakozó dugóval, valamint gumis fülhallgatóval rendelkezik. Ezzel a fülhallgatóval garantált a zenei élmény! Válassza a minőségi termékeket és rendeljen webáruházunkból.</t>
        </is>
      </c>
    </row>
    <row r="1677">
      <c r="A1677" s="6" t="inlineStr">
        <is>
          <t xml:space="preserve">   Hangtechnika / Hangszóróvezeték</t>
        </is>
      </c>
      <c r="B1677" s="6" t="inlineStr">
        <is>
          <t/>
        </is>
      </c>
      <c r="C1677" s="6" t="inlineStr">
        <is>
          <t/>
        </is>
      </c>
      <c r="D1677" s="6" t="inlineStr">
        <is>
          <t/>
        </is>
      </c>
      <c r="E1677" s="6" t="inlineStr">
        <is>
          <t/>
        </is>
      </c>
      <c r="F1677" s="6" t="inlineStr">
        <is>
          <t/>
        </is>
      </c>
      <c r="G1677" s="6" t="inlineStr">
        <is>
          <t/>
        </is>
      </c>
    </row>
    <row r="1678">
      <c r="A1678" s="3" t="inlineStr">
        <is>
          <t>KL 2,5T-10X</t>
        </is>
      </c>
      <c r="B1678" s="2" t="inlineStr">
        <is>
          <t>Hangszóróvezeték, transzparent, 2x2,5mm, 10m</t>
        </is>
      </c>
      <c r="C1678" s="1" t="n">
        <v>3790.0</v>
      </c>
      <c r="D1678" s="7" t="n">
        <f>HYPERLINK("https://www.somogyi.hu/product/hangszorovezetek-transzparent-2x2-5mm-10m-kl-2-5t-10x-2955","https://www.somogyi.hu/product/hangszorovezetek-transzparent-2x2-5mm-10m-kl-2-5t-10x-2955")</f>
        <v>0.0</v>
      </c>
      <c r="E1678" s="7" t="n">
        <f>HYPERLINK("https://www.somogyi.hu/data/img/product_main_images/small/02955.jpg","https://www.somogyi.hu/data/img/product_main_images/small/02955.jpg")</f>
        <v>0.0</v>
      </c>
      <c r="F1678" s="2" t="inlineStr">
        <is>
          <t>5998312732793</t>
        </is>
      </c>
      <c r="G1678" s="4" t="inlineStr">
        <is>
          <t xml:space="preserve"> • elemi szál anyaga: rézbevonatú alumínium 
 • elemi szál átmérője: Ø 0,10 mm 
 • kábel felépítése: 2C x (7 x 45 x  0,10 mm) 
 • szigetelés színe: transzparent 
 • szélesség x magasság: 7,6 x 3,8 mm 
 • méter/tekercs: 10 m 
 • bliszterben: igen</t>
        </is>
      </c>
    </row>
    <row r="1679">
      <c r="A1679" s="3" t="inlineStr">
        <is>
          <t>KLS 6T</t>
        </is>
      </c>
      <c r="B1679" s="2" t="inlineStr">
        <is>
          <t>SAL KLS 6T hangszóróvezeték, átlátszó, 2 x 6 mm2, 0,15 mm elemi szál, 25 m/ tekercs</t>
        </is>
      </c>
      <c r="C1679" s="1" t="n">
        <v>679.0</v>
      </c>
      <c r="D1679" s="7" t="n">
        <f>HYPERLINK("https://www.somogyi.hu/product/sal-kls-6t-hangszorovezetek-atlatszo-2-x-6-mm2-0-15-mm-elemi-szal-25-m-tekercs-kls-6t-6579","https://www.somogyi.hu/product/sal-kls-6t-hangszorovezetek-atlatszo-2-x-6-mm2-0-15-mm-elemi-szal-25-m-tekercs-kls-6t-6579")</f>
        <v>0.0</v>
      </c>
      <c r="E1679" s="7" t="n">
        <f>HYPERLINK("https://www.somogyi.hu/data/img/product_main_images/small/06579.jpg","https://www.somogyi.hu/data/img/product_main_images/small/06579.jpg")</f>
        <v>0.0</v>
      </c>
      <c r="F1679" s="2" t="inlineStr">
        <is>
          <t>5998312756188</t>
        </is>
      </c>
      <c r="G1679" s="4" t="inlineStr">
        <is>
          <t>Megbízható kialakítással rendelkező hangtechnikai kellékeket szeretne vásárolni! Ez esetben nálunk jó helyen jár!
A KLS szériába tartozó vezetékek 0,15 mm-es elemi szállal, valamint rézbevonatú alumíniummal lettek ellátva. A KLS 6T transzparent hangszóróvezeték 2 x 6,0 mm²-es tulajdonsággal rendelkezik. Hossza: 25 m/tekercs. Válassza a minőségi termékeket és rendeljen webáruházunkból.</t>
        </is>
      </c>
    </row>
    <row r="1680">
      <c r="A1680" s="3" t="inlineStr">
        <is>
          <t>KL 2,5 SILVER</t>
        </is>
      </c>
      <c r="B1680" s="2" t="inlineStr">
        <is>
          <t>SAL KL 2,5 SILVER prémium hangszóróvezeték, high-end HiFi minőség, oxigénmentes réz, 2 x 2,5 mm2, 100 m/ tekercs</t>
        </is>
      </c>
      <c r="C1680" s="1" t="n">
        <v>1890.0</v>
      </c>
      <c r="D1680" s="7" t="n">
        <f>HYPERLINK("https://www.somogyi.hu/product/sal-kl-2-5-silver-premium-hangszorovezetek-high-end-hifi-minoseg-oxigenmentes-rez-2-x-2-5-mm2-100-m-tekercs-kl-2-5-silver-17374","https://www.somogyi.hu/product/sal-kl-2-5-silver-premium-hangszorovezetek-high-end-hifi-minoseg-oxigenmentes-rez-2-x-2-5-mm2-100-m-tekercs-kl-2-5-silver-17374")</f>
        <v>0.0</v>
      </c>
      <c r="E1680" s="7" t="n">
        <f>HYPERLINK("https://www.somogyi.hu/data/img/product_main_images/small/17374.jpg","https://www.somogyi.hu/data/img/product_main_images/small/17374.jpg")</f>
        <v>0.0</v>
      </c>
      <c r="F1680" s="2" t="inlineStr">
        <is>
          <t>5999084953966</t>
        </is>
      </c>
      <c r="G1680" s="4" t="inlineStr">
        <is>
          <t>A KL 2,5 SILVER Hangszóróvezeték 2 x 2,5 mm²-es. A KL szériába tartozó vezeték 0,1 mm-es elemi szállal, ezüst színben készült. Prémium vezeték hifi alkalmazásokhoz. 
Hossza 25 m/tekercs.</t>
        </is>
      </c>
    </row>
    <row r="1681">
      <c r="A1681" s="3" t="inlineStr">
        <is>
          <t>KL 0,35-20X</t>
        </is>
      </c>
      <c r="B1681" s="2" t="inlineStr">
        <is>
          <t>Hangszóróvezeték, piros-fekete, 2x0,35mm, 20m</t>
        </is>
      </c>
      <c r="C1681" s="1" t="n">
        <v>1490.0</v>
      </c>
      <c r="D1681" s="7" t="n">
        <f>HYPERLINK("https://www.somogyi.hu/product/hangszorovezetek-piros-fekete-2x0-35mm-20m-kl-0-35-20x-2943","https://www.somogyi.hu/product/hangszorovezetek-piros-fekete-2x0-35mm-20m-kl-0-35-20x-2943")</f>
        <v>0.0</v>
      </c>
      <c r="E1681" s="7" t="n">
        <f>HYPERLINK("https://www.somogyi.hu/data/img/product_main_images/small/02943.jpg","https://www.somogyi.hu/data/img/product_main_images/small/02943.jpg")</f>
        <v>0.0</v>
      </c>
      <c r="F1681" s="2" t="inlineStr">
        <is>
          <t>5998312732670</t>
        </is>
      </c>
      <c r="G1681" s="4" t="inlineStr">
        <is>
          <t xml:space="preserve"> • elemi szál anyaga: rézbevonatú alumínium 
 • elemi szál átmérője: Ø 0,10 mm 
 • kábel felépítése: 2C x (45 x 0,10 mm) 
 • szigetelés színe: piros - fekete 
 • szélesség x magasság: 4 x 2 mm 
 • méter/tekercs: 20 m 
 • bliszterben: igen</t>
        </is>
      </c>
    </row>
    <row r="1682">
      <c r="A1682" s="3" t="inlineStr">
        <is>
          <t>KL 1,5-10X</t>
        </is>
      </c>
      <c r="B1682" s="2" t="inlineStr">
        <is>
          <t>Hangszóróvezeték, piros-fekete, 2x1,5mm, 10m</t>
        </is>
      </c>
      <c r="C1682" s="1" t="n">
        <v>1890.0</v>
      </c>
      <c r="D1682" s="7" t="n">
        <f>HYPERLINK("https://www.somogyi.hu/product/hangszorovezetek-piros-fekete-2x1-5mm-10m-kl-1-5-10x-2867","https://www.somogyi.hu/product/hangszorovezetek-piros-fekete-2x1-5mm-10m-kl-1-5-10x-2867")</f>
        <v>0.0</v>
      </c>
      <c r="E1682" s="7" t="n">
        <f>HYPERLINK("https://www.somogyi.hu/data/img/product_main_images/small/02867.jpg","https://www.somogyi.hu/data/img/product_main_images/small/02867.jpg")</f>
        <v>0.0</v>
      </c>
      <c r="F1682" s="2" t="inlineStr">
        <is>
          <t>5998312731918</t>
        </is>
      </c>
      <c r="G1682"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83">
      <c r="A1683" s="3" t="inlineStr">
        <is>
          <t>KL 1</t>
        </is>
      </c>
      <c r="B1683" s="2" t="inlineStr">
        <is>
          <t>SAL KL 1 hangszóróvezeték, piros-fekete, 2 x 1 mm2, 0,1 mm elemi szál, 100 m/ tekercs</t>
        </is>
      </c>
      <c r="C1683" s="1" t="n">
        <v>429.0</v>
      </c>
      <c r="D1683" s="7" t="n">
        <f>HYPERLINK("https://www.somogyi.hu/product/sal-kl-1-hangszorovezetek-piros-fekete-2-x-1-mm2-0-1-mm-elemi-szal-100-m-tekercs-kl-1-2819","https://www.somogyi.hu/product/sal-kl-1-hangszorovezetek-piros-fekete-2-x-1-mm2-0-1-mm-elemi-szal-100-m-tekercs-kl-1-2819")</f>
        <v>0.0</v>
      </c>
      <c r="E1683" s="7" t="n">
        <f>HYPERLINK("https://www.somogyi.hu/data/img/product_main_images/small/02819.jpg","https://www.somogyi.hu/data/img/product_main_images/small/02819.jpg")</f>
        <v>0.0</v>
      </c>
      <c r="F1683" s="2" t="inlineStr">
        <is>
          <t>5998312731437</t>
        </is>
      </c>
      <c r="G1683" s="4" t="inlineStr">
        <is>
          <t>Megbízható kialakítással rendelkező hangtechnikai kellékeket szeretne vásárolni! Ez esetben nálunk jó helyen jár!
A KL szériába tartozó vezetékek 0,10 mm-es elemi szállal, valamint oxigénmentes tiszta rézzel lettek ellátva. A KL 1 piros-fekete hangszóróvezeték 2 x 1,0 mm²-es tulajdonsággal rendelkezik. Hossza: 100 m/tekercs. Válassza a minőségi termékeket és rendeljen webáruházunkból.</t>
        </is>
      </c>
    </row>
    <row r="1684">
      <c r="A1684" s="3" t="inlineStr">
        <is>
          <t>KL 0,75</t>
        </is>
      </c>
      <c r="B1684" s="2" t="inlineStr">
        <is>
          <t>SAL KL 0,75 hangszóróvezeték, piros-fekete, 2 x 0,75 mm2, 0,1 mm elemi szál, 100 m/ tekercs</t>
        </is>
      </c>
      <c r="C1684" s="1" t="n">
        <v>369.0</v>
      </c>
      <c r="D1684" s="7" t="n">
        <f>HYPERLINK("https://www.somogyi.hu/product/sal-kl-0-75-hangszorovezetek-piros-fekete-2-x-0-75-mm2-0-1-mm-elemi-szal-100-m-tekercs-kl-0-75-2818","https://www.somogyi.hu/product/sal-kl-0-75-hangszorovezetek-piros-fekete-2-x-0-75-mm2-0-1-mm-elemi-szal-100-m-tekercs-kl-0-75-2818")</f>
        <v>0.0</v>
      </c>
      <c r="E1684" s="7" t="n">
        <f>HYPERLINK("https://www.somogyi.hu/data/img/product_main_images/small/02818.jpg","https://www.somogyi.hu/data/img/product_main_images/small/02818.jpg")</f>
        <v>0.0</v>
      </c>
      <c r="F1684" s="2" t="inlineStr">
        <is>
          <t>5998312731420</t>
        </is>
      </c>
      <c r="G1684" s="4" t="inlineStr">
        <is>
          <t>Megbízható kialakítással rendelkező hangtechnikai kellékeket szeretne vásárolni! Ez esetben nálunk jó helyen jár!
A KL szériába tartozó vezetékek 0,10 mm-es elemi szállal, valamint oxigénmentes tiszta rézzel lettek ellátva. A KL 0,75 piros-fekete hangszóróvezeték 2 x 0,75 mm²-es tulajdonsággal rendelkezik. Hossza: 100 m/tekercs. Válassza a minőségi termékeket és rendeljen webáruházunkból.</t>
        </is>
      </c>
    </row>
    <row r="1685">
      <c r="A1685" s="3" t="inlineStr">
        <is>
          <t>KL 2,5T</t>
        </is>
      </c>
      <c r="B1685" s="2" t="inlineStr">
        <is>
          <t>SAL KL 2,5T hangszóróvezeték, átlátszó, 2 x 2,5 mm2, 0,1 mm elemi szál, 50 m/ tekercs</t>
        </is>
      </c>
      <c r="C1685" s="1" t="n">
        <v>1150.0</v>
      </c>
      <c r="D1685" s="7" t="n">
        <f>HYPERLINK("https://www.somogyi.hu/product/sal-kl-2-5t-hangszorovezetek-atlatszo-2-x-2-5-mm2-0-1-mm-elemi-szal-50-m-tekercs-kl-2-5t-2625","https://www.somogyi.hu/product/sal-kl-2-5t-hangszorovezetek-atlatszo-2-x-2-5-mm2-0-1-mm-elemi-szal-50-m-tekercs-kl-2-5t-2625")</f>
        <v>0.0</v>
      </c>
      <c r="E1685" s="7" t="n">
        <f>HYPERLINK("https://www.somogyi.hu/data/img/product_main_images/small/02625.jpg","https://www.somogyi.hu/data/img/product_main_images/small/02625.jpg")</f>
        <v>0.0</v>
      </c>
      <c r="F1685" s="2" t="inlineStr">
        <is>
          <t>5998312729403</t>
        </is>
      </c>
      <c r="G1685" s="4" t="inlineStr">
        <is>
          <t>Megbízható kialakítással rendelkező hangtechnikai kellékeket szeretne vásárolni! Ez esetben nálunk jó helyen jár!
A KL szériába tartozó vezetékek 0,10 mm-es elemi szállal, valamint oxigénmentes tiszta rézzel lettek ellátva. A KL 2,5T transzparent hangszóróvezeték 2 x 2,5 mm²-es tulajdonsággal rendelkezik. Hossza: 50 m/tekercs. Válassza a minőségi termékeket és rendeljen webáruházunkból.</t>
        </is>
      </c>
    </row>
    <row r="1686">
      <c r="A1686" s="3" t="inlineStr">
        <is>
          <t>KL 1T</t>
        </is>
      </c>
      <c r="B1686" s="2" t="inlineStr">
        <is>
          <t>SAL KL 1T hangszóróvezeték, átlátszó, 2 x 1 mm2, 0,1 mm elemi szál, 100 m/ tekercs</t>
        </is>
      </c>
      <c r="C1686" s="1" t="n">
        <v>429.0</v>
      </c>
      <c r="D1686" s="7" t="n">
        <f>HYPERLINK("https://www.somogyi.hu/product/sal-kl-1t-hangszorovezetek-atlatszo-2-x-1-mm2-0-1-mm-elemi-szal-100-m-tekercs-kl-1t-2522","https://www.somogyi.hu/product/sal-kl-1t-hangszorovezetek-atlatszo-2-x-1-mm2-0-1-mm-elemi-szal-100-m-tekercs-kl-1t-2522")</f>
        <v>0.0</v>
      </c>
      <c r="E1686" s="7" t="n">
        <f>HYPERLINK("https://www.somogyi.hu/data/img/product_main_images/small/02522.jpg","https://www.somogyi.hu/data/img/product_main_images/small/02522.jpg")</f>
        <v>0.0</v>
      </c>
      <c r="F1686" s="2" t="inlineStr">
        <is>
          <t>5998312728345</t>
        </is>
      </c>
      <c r="G1686" s="4" t="inlineStr">
        <is>
          <t>Megbízható kialakítással rendelkező hangtechnikai kellékeket szeretne vásárolni! Ez esetben nálunk jó helyen jár!
A KL szériába tartozó vezetékek 0,10 mm-es elemi szállal, valamint oxigénmentes tiszta rézzel lettek ellátva. A KL 1T transzparent hangszóróvezeték 2 x 1,0 mm²-es tulajdonsággal rendelkezik. Hossza: 100 m/tekercs. Válassza a minőségi termékeket és rendeljen webáruházunkból.</t>
        </is>
      </c>
    </row>
    <row r="1687">
      <c r="A1687" s="3" t="inlineStr">
        <is>
          <t>KL 0,15</t>
        </is>
      </c>
      <c r="B1687" s="2" t="inlineStr">
        <is>
          <t>SAL KL 0,15 hangszóróvezeték, piros-fekete, 2 x 0,15 mm2, 0,1 mm elemi szál, 100 m/ tekercs</t>
        </is>
      </c>
      <c r="C1687" s="1" t="n">
        <v>95.0</v>
      </c>
      <c r="D1687" s="7" t="n">
        <f>HYPERLINK("https://www.somogyi.hu/product/sal-kl-0-15-hangszorovezetek-piros-fekete-2-x-0-15-mm2-0-1-mm-elemi-szal-100-m-tekercs-kl-0-15-2520","https://www.somogyi.hu/product/sal-kl-0-15-hangszorovezetek-piros-fekete-2-x-0-15-mm2-0-1-mm-elemi-szal-100-m-tekercs-kl-0-15-2520")</f>
        <v>0.0</v>
      </c>
      <c r="E1687" s="7" t="n">
        <f>HYPERLINK("https://www.somogyi.hu/data/img/product_main_images/small/02520.jpg","https://www.somogyi.hu/data/img/product_main_images/small/02520.jpg")</f>
        <v>0.0</v>
      </c>
      <c r="F1687" s="2" t="inlineStr">
        <is>
          <t>5998312728321</t>
        </is>
      </c>
      <c r="G1687" s="4" t="inlineStr">
        <is>
          <t>Megbízható kialakítással rendelkező hangtechnikai kellékeket szeretne vásárolni! Ez esetben nálunk jó helyen jár!
A KL szériába tartozó vezetékek 0,10 mm-es elemi szállal, valamint oxigénmentes tiszta rézzel lettek legyártva. A KL 0,15 piros-fekete hangszóróvezeték 2 x 0,15 mm²-es tulajdonsággal rendelkezik. Hossza: 100 m/tekercs. Válassza a minőségi termékeket és rendeljen webáruházunkból.</t>
        </is>
      </c>
    </row>
    <row r="1688">
      <c r="A1688" s="3" t="inlineStr">
        <is>
          <t>KL 1,5T-10X</t>
        </is>
      </c>
      <c r="B1688" s="2" t="inlineStr">
        <is>
          <t>Hangszóróvezeték, transzparent, 2x1,5mm, 10m</t>
        </is>
      </c>
      <c r="C1688" s="1" t="n">
        <v>1890.0</v>
      </c>
      <c r="D1688" s="7" t="n">
        <f>HYPERLINK("https://www.somogyi.hu/product/hangszorovezetek-transzparent-2x1-5mm-10m-kl-1-5t-10x-2309","https://www.somogyi.hu/product/hangszorovezetek-transzparent-2x1-5mm-10m-kl-1-5t-10x-2309")</f>
        <v>0.0</v>
      </c>
      <c r="E1688" s="7" t="n">
        <f>HYPERLINK("https://www.somogyi.hu/data/img/product_main_images/small/02309.jpg","https://www.somogyi.hu/data/img/product_main_images/small/02309.jpg")</f>
        <v>0.0</v>
      </c>
      <c r="F1688" s="2" t="inlineStr">
        <is>
          <t>5998312725764</t>
        </is>
      </c>
      <c r="G1688"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89">
      <c r="A1689" s="3" t="inlineStr">
        <is>
          <t>KL 0,75T-10X</t>
        </is>
      </c>
      <c r="B1689" s="2" t="inlineStr">
        <is>
          <t>Hangszóróvezeték, transzparent, 2x0,75mm, 10m</t>
        </is>
      </c>
      <c r="C1689" s="1" t="n">
        <v>1190.0</v>
      </c>
      <c r="D1689" s="7" t="n">
        <f>HYPERLINK("https://www.somogyi.hu/product/hangszorovezetek-transzparent-2x0-75mm-10m-kl-0-75t-10x-2308","https://www.somogyi.hu/product/hangszorovezetek-transzparent-2x0-75mm-10m-kl-0-75t-10x-2308")</f>
        <v>0.0</v>
      </c>
      <c r="E1689" s="7" t="n">
        <f>HYPERLINK("https://www.somogyi.hu/data/img/product_main_images/small/02308.jpg","https://www.somogyi.hu/data/img/product_main_images/small/02308.jpg")</f>
        <v>0.0</v>
      </c>
      <c r="F1689" s="2" t="inlineStr">
        <is>
          <t>5998312725757</t>
        </is>
      </c>
      <c r="G1689" s="4" t="inlineStr">
        <is>
          <t xml:space="preserve"> • elemi szál anyaga: rézbevonatú alumínium 
 • elemi szál átmérője: Ø 0,10 mm 
 • kábel felépítése: 2C x (96 x 0,10 mm) 
 • szigetelés színe: transzparent 
 • szélesség x magasság: 4,6 x 2,3 mm 
 • méter/tekercs: 10 m 
 • bliszterben: igen</t>
        </is>
      </c>
    </row>
    <row r="1690">
      <c r="A1690" s="3" t="inlineStr">
        <is>
          <t>KL 0,5-10X</t>
        </is>
      </c>
      <c r="B1690" s="2" t="inlineStr">
        <is>
          <t>Hangszóróvezeték, piros-fekete, 2x0,5mm, 10m</t>
        </is>
      </c>
      <c r="C1690" s="1" t="n">
        <v>959.0</v>
      </c>
      <c r="D1690" s="7" t="n">
        <f>HYPERLINK("https://www.somogyi.hu/product/hangszorovezetek-piros-fekete-2x0-5mm-10m-kl-0-5-10x-2307","https://www.somogyi.hu/product/hangszorovezetek-piros-fekete-2x0-5mm-10m-kl-0-5-10x-2307")</f>
        <v>0.0</v>
      </c>
      <c r="E1690" s="7" t="n">
        <f>HYPERLINK("https://www.somogyi.hu/data/img/product_main_images/small/02307.jpg","https://www.somogyi.hu/data/img/product_main_images/small/02307.jpg")</f>
        <v>0.0</v>
      </c>
      <c r="F1690" s="2" t="inlineStr">
        <is>
          <t>5998312725740</t>
        </is>
      </c>
      <c r="G1690" s="4" t="inlineStr">
        <is>
          <t xml:space="preserve"> • elemi szál anyaga: rézbevonatú alumínium 
 • elemi szál átmérője: Ø 0,10 mm 
 • kábel felépítése: 2C x (64 x 0,10 mm) 
 • szigetelés színe: piros - fekete 
 • szélesség x magasság: 4,4 x 2,2 mm 
 • méter/tekercs: 10 m 
 • bliszterben: igen</t>
        </is>
      </c>
    </row>
    <row r="1691">
      <c r="A1691" s="3" t="inlineStr">
        <is>
          <t>KL 0,35-10X</t>
        </is>
      </c>
      <c r="B1691" s="2" t="inlineStr">
        <is>
          <t>Hangszóróvezeték, piros-fekete, 2x0,35mm, 10m</t>
        </is>
      </c>
      <c r="C1691" s="1" t="n">
        <v>799.0</v>
      </c>
      <c r="D1691" s="7" t="n">
        <f>HYPERLINK("https://www.somogyi.hu/product/hangszorovezetek-piros-fekete-2x0-35mm-10m-kl-0-35-10x-2306","https://www.somogyi.hu/product/hangszorovezetek-piros-fekete-2x0-35mm-10m-kl-0-35-10x-2306")</f>
        <v>0.0</v>
      </c>
      <c r="E1691" s="7" t="n">
        <f>HYPERLINK("https://www.somogyi.hu/data/img/product_main_images/small/02306.jpg","https://www.somogyi.hu/data/img/product_main_images/small/02306.jpg")</f>
        <v>0.0</v>
      </c>
      <c r="F1691" s="2" t="inlineStr">
        <is>
          <t>5998312725733</t>
        </is>
      </c>
      <c r="G1691" s="4" t="inlineStr">
        <is>
          <t xml:space="preserve"> • elemi szál anyaga: rézbevonatú alumínium 
 • elemi szál átmérője: Ø 0,10 mm 
 • kábel felépítése: 2C x (45 x 0,10 mm) 
 • szigetelés színe: piros - fekete 
 • szélesség x magasság: 4 x 2 mm 
 • méter/tekercs: 10 m 
 • bliszterben: igen</t>
        </is>
      </c>
    </row>
    <row r="1692">
      <c r="A1692" s="3" t="inlineStr">
        <is>
          <t>KL 1,5T</t>
        </is>
      </c>
      <c r="B1692" s="2" t="inlineStr">
        <is>
          <t>SAL KL 1,5T hangszóróvezeték, átlátszó, 2 x 1,5 mm2, 0,1 mm elemi szál, 100 m/ tekercs</t>
        </is>
      </c>
      <c r="C1692" s="1" t="n">
        <v>699.0</v>
      </c>
      <c r="D1692" s="7" t="n">
        <f>HYPERLINK("https://www.somogyi.hu/product/sal-kl-1-5t-hangszorovezetek-atlatszo-2-x-1-5-mm2-0-1-mm-elemi-szal-100-m-tekercs-kl-1-5t-2039","https://www.somogyi.hu/product/sal-kl-1-5t-hangszorovezetek-atlatszo-2-x-1-5-mm2-0-1-mm-elemi-szal-100-m-tekercs-kl-1-5t-2039")</f>
        <v>0.0</v>
      </c>
      <c r="E1692" s="7" t="n">
        <f>HYPERLINK("https://www.somogyi.hu/data/img/product_main_images/small/02039.jpg","https://www.somogyi.hu/data/img/product_main_images/small/02039.jpg")</f>
        <v>0.0</v>
      </c>
      <c r="F1692" s="2" t="inlineStr">
        <is>
          <t>5998312722329</t>
        </is>
      </c>
      <c r="G1692" s="4" t="inlineStr">
        <is>
          <t>Megbízható kialakítással rendelkező hangtechnikai kellékeket szeretne vásárolni! Ez esetben nálunk jó helyen jár!
A KL szériába tartozó vezetékek 0,10 mm-es elemi szállal, valamint oxigénmentes tiszta rézzel lettek ellátva. A KL 1,5T transzparent hangszóróvezeték 2 x 1,5 mm²-es tulajdonsággal rendelkezik. Hossza: 100 m/tekercs. Válassza a minőségi termékeket és rendeljen webáruházunkból.</t>
        </is>
      </c>
    </row>
    <row r="1693">
      <c r="A1693" s="3" t="inlineStr">
        <is>
          <t>KL 0,75T</t>
        </is>
      </c>
      <c r="B1693" s="2" t="inlineStr">
        <is>
          <t>SAL KL 0,75T hangszóróvezeték, átlátszó, 2 x 0,75 mm2, 0,1 mm elemi szál, 100 m/ tekercs</t>
        </is>
      </c>
      <c r="C1693" s="1" t="n">
        <v>369.0</v>
      </c>
      <c r="D1693" s="7" t="n">
        <f>HYPERLINK("https://www.somogyi.hu/product/sal-kl-0-75t-hangszorovezetek-atlatszo-2-x-0-75-mm2-0-1-mm-elemi-szal-100-m-tekercs-kl-0-75t-1800","https://www.somogyi.hu/product/sal-kl-0-75t-hangszorovezetek-atlatszo-2-x-0-75-mm2-0-1-mm-elemi-szal-100-m-tekercs-kl-0-75t-1800")</f>
        <v>0.0</v>
      </c>
      <c r="E1693" s="7" t="n">
        <f>HYPERLINK("https://www.somogyi.hu/data/img/product_main_images/small/01800.jpg","https://www.somogyi.hu/data/img/product_main_images/small/01800.jpg")</f>
        <v>0.0</v>
      </c>
      <c r="F1693" s="2" t="inlineStr">
        <is>
          <t>5998312702871</t>
        </is>
      </c>
      <c r="G1693" s="4" t="inlineStr">
        <is>
          <t>Megbízható kialakítással rendelkező hangtechnikai kellékeket szeretne vásárolni! Ez esetben nálunk jó helyen jár!
A KL szériába tartozó vezetékek 0,10 mm-es elemi szállal, valamint oxigénmentes tiszta rézzel lettek ellátva. A KL 0,75T transzparent hangszóróvezeték 2 x 0,75 mm²-es tulajdonsággal rendelkezik. Hossza: 100 m/tekercs. Válassza a minőségi termékeket és rendeljen webáruházunkból.</t>
        </is>
      </c>
    </row>
    <row r="1694">
      <c r="A1694" s="3" t="inlineStr">
        <is>
          <t>KL 0,5</t>
        </is>
      </c>
      <c r="B1694" s="2" t="inlineStr">
        <is>
          <t>SAL KL 0,5 hangszóróvezeték, piros-fekete, 2 x 0,5 mm2, 0,1 mm elemi szál, 100 m/ tekercs</t>
        </is>
      </c>
      <c r="C1694" s="1" t="n">
        <v>229.0</v>
      </c>
      <c r="D1694" s="7" t="n">
        <f>HYPERLINK("https://www.somogyi.hu/product/sal-kl-0-5-hangszorovezetek-piros-fekete-2-x-0-5-mm2-0-1-mm-elemi-szal-100-m-tekercs-kl-0-5-1799","https://www.somogyi.hu/product/sal-kl-0-5-hangszorovezetek-piros-fekete-2-x-0-5-mm2-0-1-mm-elemi-szal-100-m-tekercs-kl-0-5-1799")</f>
        <v>0.0</v>
      </c>
      <c r="E1694" s="7" t="n">
        <f>HYPERLINK("https://www.somogyi.hu/data/img/product_main_images/small/01799.jpg","https://www.somogyi.hu/data/img/product_main_images/small/01799.jpg")</f>
        <v>0.0</v>
      </c>
      <c r="F1694" s="2" t="inlineStr">
        <is>
          <t>5998312702857</t>
        </is>
      </c>
      <c r="G1694" s="4" t="inlineStr">
        <is>
          <t>Megbízható kialakítással rendelkező hangtechnikai kellékeket szeretne vásárolni! Ez esetben nálunk jó helyen jár!
A KL szériába tartozó vezetékek 0,10 mm-es elemi szállal, valamint oxigénmentes tiszta rézzel lettek ellátva. A KL 0,5 piros-fekete hangszóróvezeték 2 x 0,5 mm²-es tulajdonsággal rendelkezik. Hossza: 100 m/tekercs. Válassza a minőségi termékeket és rendeljen webáruházunkból.</t>
        </is>
      </c>
    </row>
    <row r="1695">
      <c r="A1695" s="3" t="inlineStr">
        <is>
          <t>KLS 0,5T</t>
        </is>
      </c>
      <c r="B1695" s="2" t="inlineStr">
        <is>
          <t>SAL KLS 0,5T hangszóróvezeték, átlátszó, 2 x 0,5 mm2, 0,15 mm elemi szál, 100 m/ tekercs</t>
        </is>
      </c>
      <c r="C1695" s="1" t="n">
        <v>85.0</v>
      </c>
      <c r="D1695" s="7" t="n">
        <f>HYPERLINK("https://www.somogyi.hu/product/sal-kls-0-5t-hangszorovezetek-atlatszo-2-x-0-5-mm2-0-15-mm-elemi-szal-100-m-tekercs-kls-0-5t-6573","https://www.somogyi.hu/product/sal-kls-0-5t-hangszorovezetek-atlatszo-2-x-0-5-mm2-0-15-mm-elemi-szal-100-m-tekercs-kls-0-5t-6573")</f>
        <v>0.0</v>
      </c>
      <c r="E1695" s="7" t="n">
        <f>HYPERLINK("https://www.somogyi.hu/data/img/product_main_images/small/06573.jpg","https://www.somogyi.hu/data/img/product_main_images/small/06573.jpg")</f>
        <v>0.0</v>
      </c>
      <c r="F1695" s="2" t="inlineStr">
        <is>
          <t>5998312756126</t>
        </is>
      </c>
      <c r="G1695" s="4" t="inlineStr">
        <is>
          <t>Megbízható kialakítással rendelkező hangtechnikai kellékeket szeretne vásárolni! Ez esetben nálunk jó helyen jár!
A KLS szériába tartozó vezetékek 0,15 mm-es elemi szállal, valamint rézbevonatú alumíniummal lettek ellátva. A KLS 0,5T transzparent hangszóróvezeték 2 x 0,5 mm²-es tulajdonsággal rendelkezik. Hossza: 100 m/tekercs. Válassza a minőségi termékeket és rendeljen webáruházunkból.</t>
        </is>
      </c>
    </row>
    <row r="1696">
      <c r="A1696" s="3" t="inlineStr">
        <is>
          <t>KLS 0,75T</t>
        </is>
      </c>
      <c r="B1696" s="2" t="inlineStr">
        <is>
          <t>SAL KLS 0,75T hangszóróvezeték, átlátszó, 2 x 0,75 mm2, 0,15 mm elemi szál, 100 m/ tekercs</t>
        </is>
      </c>
      <c r="C1696" s="1" t="n">
        <v>109.0</v>
      </c>
      <c r="D1696" s="7" t="n">
        <f>HYPERLINK("https://www.somogyi.hu/product/sal-kls-0-75t-hangszorovezetek-atlatszo-2-x-0-75-mm2-0-15-mm-elemi-szal-100-m-tekercs-kls-0-75t-6574","https://www.somogyi.hu/product/sal-kls-0-75t-hangszorovezetek-atlatszo-2-x-0-75-mm2-0-15-mm-elemi-szal-100-m-tekercs-kls-0-75t-6574")</f>
        <v>0.0</v>
      </c>
      <c r="E1696" s="7" t="n">
        <f>HYPERLINK("https://www.somogyi.hu/data/img/product_main_images/small/06574.jpg","https://www.somogyi.hu/data/img/product_main_images/small/06574.jpg")</f>
        <v>0.0</v>
      </c>
      <c r="F1696" s="2" t="inlineStr">
        <is>
          <t>5998312756133</t>
        </is>
      </c>
      <c r="G1696" s="4" t="inlineStr">
        <is>
          <t>Megbízható kialakítással rendelkező hangtechnikai kellékeket szeretne vásárolni! Ez esetben nálunk jó helyen jár!
A KLS szériába tartozó vezetékek 0,15 mm-es elemi szállal, valamint rézbevonatú alumíniummal lettek ellátva. A KLS 0,75T transzparent hangszóróvezeték 2 x 0,75 mm²-es tulajdonsággal rendelkezik. Hossza: 100 m/tekercs. Válassza a minőségi termékeket és rendeljen webáruházunkból.</t>
        </is>
      </c>
    </row>
    <row r="1697">
      <c r="A1697" s="3" t="inlineStr">
        <is>
          <t>KLS 0,15</t>
        </is>
      </c>
      <c r="B1697" s="2" t="inlineStr">
        <is>
          <t>SAL KLS 0,15 hangszóróvezeték, piros-fekete, 2 x 0,15 mm2, 0,15 mm elemi szál, 100 m/ tekercs</t>
        </is>
      </c>
      <c r="C1697" s="1" t="n">
        <v>49.0</v>
      </c>
      <c r="D1697" s="7" t="n">
        <f>HYPERLINK("https://www.somogyi.hu/product/sal-kls-0-15-hangszorovezetek-piros-fekete-2-x-0-15-mm2-0-15-mm-elemi-szal-100-m-tekercs-kls-0-15-6566","https://www.somogyi.hu/product/sal-kls-0-15-hangszorovezetek-piros-fekete-2-x-0-15-mm2-0-15-mm-elemi-szal-100-m-tekercs-kls-0-15-6566")</f>
        <v>0.0</v>
      </c>
      <c r="E1697" s="7" t="n">
        <f>HYPERLINK("https://www.somogyi.hu/data/img/product_main_images/small/06566.jpg","https://www.somogyi.hu/data/img/product_main_images/small/06566.jpg")</f>
        <v>0.0</v>
      </c>
      <c r="F1697" s="2" t="inlineStr">
        <is>
          <t>5998312756065</t>
        </is>
      </c>
      <c r="G1697" s="4" t="inlineStr">
        <is>
          <t>Megbízható kialakítással rendelkező hangtechnikai kellékeket szeretne vásárolni! Ez esetben nálunk jó helyen jár!
A KLS szériába tartozó vezetékek 0,15 mm-es elemi szállal, valamint rézbevonatú alumíniummal lettek legyártva. A KLS 0,15 piros-fekete színű hangszóróvezeték 2 x 0,15 mm²-es tulajdonsággal rendelkezik. Hossza: 100 m/tekercs. Válassza a minőségi termékeket és rendeljen webáruházunkból.</t>
        </is>
      </c>
    </row>
    <row r="1698">
      <c r="A1698" s="3" t="inlineStr">
        <is>
          <t>KLS 0,75</t>
        </is>
      </c>
      <c r="B1698" s="2" t="inlineStr">
        <is>
          <t>SAL KLS 0,75 hangszóróvezeték, piros-fekete, 2 x 0,75 mm2, 0,15 mm elemi szál, 100 m/ tekercs</t>
        </is>
      </c>
      <c r="C1698" s="1" t="n">
        <v>109.0</v>
      </c>
      <c r="D1698" s="7" t="n">
        <f>HYPERLINK("https://www.somogyi.hu/product/sal-kls-0-75-hangszorovezetek-piros-fekete-2-x-0-75-mm2-0-15-mm-elemi-szal-100-m-tekercs-kls-0-75-6569","https://www.somogyi.hu/product/sal-kls-0-75-hangszorovezetek-piros-fekete-2-x-0-75-mm2-0-15-mm-elemi-szal-100-m-tekercs-kls-0-75-6569")</f>
        <v>0.0</v>
      </c>
      <c r="E1698" s="7" t="n">
        <f>HYPERLINK("https://www.somogyi.hu/data/img/product_main_images/small/06569.jpg","https://www.somogyi.hu/data/img/product_main_images/small/06569.jpg")</f>
        <v>0.0</v>
      </c>
      <c r="F1698" s="2" t="inlineStr">
        <is>
          <t>5998312756096</t>
        </is>
      </c>
      <c r="G1698" s="4" t="inlineStr">
        <is>
          <t>Megbízható kialakítással rendelkező hangtechnikai kellékeket szeretne vásárolni! Ez esetben nálunk jó helyen jár!
A KLS szériába tartozó vezetékek 0,15 mm-es elemi szállal, valamint rézbevonatú alumíniummal lettek ellátva. A KLS 0,75 piros-fekete színű hangszóróvezeték 2 x 0,75 mm²-es tulajdonsággal rendelkezik. Hossza: 100 m/tekercs. Válassza a minőségi termékeket és rendeljen webáruházunkból.</t>
        </is>
      </c>
    </row>
    <row r="1699">
      <c r="A1699" s="3" t="inlineStr">
        <is>
          <t>KLS 4T</t>
        </is>
      </c>
      <c r="B1699" s="2" t="inlineStr">
        <is>
          <t>SAL KLS 4T hangszóróvezeték, átlátszó, 2 x 4 mm2, 0,15 mm elemi szál, 50 m/ tekercs</t>
        </is>
      </c>
      <c r="C1699" s="1" t="n">
        <v>529.0</v>
      </c>
      <c r="D1699" s="7" t="n">
        <f>HYPERLINK("https://www.somogyi.hu/product/sal-kls-4t-hangszorovezetek-atlatszo-2-x-4-mm2-0-15-mm-elemi-szal-50-m-tekercs-kls-4t-6578","https://www.somogyi.hu/product/sal-kls-4t-hangszorovezetek-atlatszo-2-x-4-mm2-0-15-mm-elemi-szal-50-m-tekercs-kls-4t-6578")</f>
        <v>0.0</v>
      </c>
      <c r="E1699" s="7" t="n">
        <f>HYPERLINK("https://www.somogyi.hu/data/img/product_main_images/small/06578.jpg","https://www.somogyi.hu/data/img/product_main_images/small/06578.jpg")</f>
        <v>0.0</v>
      </c>
      <c r="F1699" s="2" t="inlineStr">
        <is>
          <t>5998312756171</t>
        </is>
      </c>
      <c r="G1699" s="4" t="inlineStr">
        <is>
          <t>Megbízható kialakítással rendelkező hangtechnikai kellékeket szeretne vásárolni! Ez esetben nálunk jó helyen jár!
A KLS szériába tartozó vezetékek 0,15 mm-es elemi szállal, valamint rézbevonatú alumíniummal lettek ellátva. A KLS 4T transzparent hangszóróvezeték 2 x 4,0 mm²-es tulajdonsággal rendelkezik. Hossza: 50 m/tekercs. Válassza a minőségi termékeket és rendeljen webáruházunkból.</t>
        </is>
      </c>
    </row>
    <row r="1700">
      <c r="A1700" s="3" t="inlineStr">
        <is>
          <t>KL 1,5</t>
        </is>
      </c>
      <c r="B1700" s="2" t="inlineStr">
        <is>
          <t>SAL KL 1,5 hangszóróvezeték, piros-fekete, 2 x 1,5 mm2, 0,1 mm elemi szál, 100 m/ tekercs</t>
        </is>
      </c>
      <c r="C1700" s="1" t="n">
        <v>699.0</v>
      </c>
      <c r="D1700" s="7" t="n">
        <f>HYPERLINK("https://www.somogyi.hu/product/sal-kl-1-5-hangszorovezetek-piros-fekete-2-x-1-5-mm2-0-1-mm-elemi-szal-100-m-tekercs-kl-1-5-2820","https://www.somogyi.hu/product/sal-kl-1-5-hangszorovezetek-piros-fekete-2-x-1-5-mm2-0-1-mm-elemi-szal-100-m-tekercs-kl-1-5-2820")</f>
        <v>0.0</v>
      </c>
      <c r="E1700" s="7" t="n">
        <f>HYPERLINK("https://www.somogyi.hu/data/img/product_main_images/small/02820.jpg","https://www.somogyi.hu/data/img/product_main_images/small/02820.jpg")</f>
        <v>0.0</v>
      </c>
      <c r="F1700" s="2" t="inlineStr">
        <is>
          <t>5998312731444</t>
        </is>
      </c>
      <c r="G1700" s="4" t="inlineStr">
        <is>
          <t>Megbízható kialakítással rendelkező hangtechnikai kellékeket szeretne vásárolni! Ez esetben nálunk jó helyen jár!
A KL szériába tartozó vezetékek 0,10 mm-es elemi szállal, valamint oxigénmentes tiszta rézzel lettek ellátva. A KL 1,5 piros-fekete hangszóróvezeték 2 x 1,5 mm²-es tulajdonsággal rendelkezik. Hossza: 100 m/tekercs. Válassza a minőségi termékeket és rendeljen webáruházunkból.</t>
        </is>
      </c>
    </row>
    <row r="1701">
      <c r="A1701" s="3" t="inlineStr">
        <is>
          <t>KL 0,35</t>
        </is>
      </c>
      <c r="B1701" s="2" t="inlineStr">
        <is>
          <t>SAL KL 0,35 hangszóróvezeték, piros-fekete, 2 x 0,35 mm2, 0,1 mm elemi szál, 100 m/ tekercs</t>
        </is>
      </c>
      <c r="C1701" s="1" t="n">
        <v>169.0</v>
      </c>
      <c r="D1701" s="7" t="n">
        <f>HYPERLINK("https://www.somogyi.hu/product/sal-kl-0-35-hangszorovezetek-piros-fekete-2-x-0-35-mm2-0-1-mm-elemi-szal-100-m-tekercs-kl-0-35-1798","https://www.somogyi.hu/product/sal-kl-0-35-hangszorovezetek-piros-fekete-2-x-0-35-mm2-0-1-mm-elemi-szal-100-m-tekercs-kl-0-35-1798")</f>
        <v>0.0</v>
      </c>
      <c r="E1701" s="7" t="n">
        <f>HYPERLINK("https://www.somogyi.hu/data/img/product_main_images/small/01798.jpg","https://www.somogyi.hu/data/img/product_main_images/small/01798.jpg")</f>
        <v>0.0</v>
      </c>
      <c r="F1701" s="2" t="inlineStr">
        <is>
          <t>5998312702840</t>
        </is>
      </c>
      <c r="G1701" s="4" t="inlineStr">
        <is>
          <t>Megbízható kialakítással rendelkező hangtechnikai kellékeket szeretne vásárolni! Ez esetben nálunk jó helyen jár!
A KL szériába tartozó vezetékek 0,10 mm-es elemi szállal, valamint oxigénmentes tiszta rézzel lettek ellátva. A KL 0,35 piros-fekete hangszóróvezeték 2 x 0,35 mm²-es tulajdonsággal rendelkezik. Hossza: 100 m/tekercs. Válassza a minőségi termékeket és rendeljen webáruházunkból.</t>
        </is>
      </c>
    </row>
    <row r="1702">
      <c r="A1702" s="3" t="inlineStr">
        <is>
          <t>KLS 2,5T</t>
        </is>
      </c>
      <c r="B1702" s="2" t="inlineStr">
        <is>
          <t>SAL KLS 2,5T hangszóróvezeték, átlátszó, 2 x 2,5 mm2, 0,15 mm elemi szál, 50 m/ tekercs</t>
        </is>
      </c>
      <c r="C1702" s="1" t="n">
        <v>369.0</v>
      </c>
      <c r="D1702" s="7" t="n">
        <f>HYPERLINK("https://www.somogyi.hu/product/sal-kls-2-5t-hangszorovezetek-atlatszo-2-x-2-5-mm2-0-15-mm-elemi-szal-50-m-tekercs-kls-2-5t-6577","https://www.somogyi.hu/product/sal-kls-2-5t-hangszorovezetek-atlatszo-2-x-2-5-mm2-0-15-mm-elemi-szal-50-m-tekercs-kls-2-5t-6577")</f>
        <v>0.0</v>
      </c>
      <c r="E1702" s="7" t="n">
        <f>HYPERLINK("https://www.somogyi.hu/data/img/product_main_images/small/06577.jpg","https://www.somogyi.hu/data/img/product_main_images/small/06577.jpg")</f>
        <v>0.0</v>
      </c>
      <c r="F1702" s="2" t="inlineStr">
        <is>
          <t>5998312756164</t>
        </is>
      </c>
      <c r="G1702" s="4" t="inlineStr">
        <is>
          <t>Megbízható kialakítással rendelkező hangtechnikai kellékeket szeretne vásárolni! Ez esetben nálunk jó helyen jár!
A KLS szériába tartozó vezetékek 0,15 mm-es elemi szállal, valamint rézbevonatú alumíniummal lettek ellátva. A KLS 2,5T transzparent hangszóróvezeték 2 x 2,5 mm²-es tulajdonsággal rendelkezik. Hossza: 50 m/tekercs. Válassza a minőségi termékeket és rendeljen webáruházunkból.</t>
        </is>
      </c>
    </row>
    <row r="1703">
      <c r="A1703" s="3" t="inlineStr">
        <is>
          <t>KLS 1,5T</t>
        </is>
      </c>
      <c r="B1703" s="2" t="inlineStr">
        <is>
          <t>SAL KLS 1,5T hangszóróvezeték, átlátszó, 2 x 1,5 mm2, 0,15 mm elemi szál, 100 m/ tekercs</t>
        </is>
      </c>
      <c r="C1703" s="1" t="n">
        <v>179.0</v>
      </c>
      <c r="D1703" s="7" t="n">
        <f>HYPERLINK("https://www.somogyi.hu/product/sal-kls-1-5t-hangszorovezetek-atlatszo-2-x-1-5-mm2-0-15-mm-elemi-szal-100-m-tekercs-kls-1-5t-6576","https://www.somogyi.hu/product/sal-kls-1-5t-hangszorovezetek-atlatszo-2-x-1-5-mm2-0-15-mm-elemi-szal-100-m-tekercs-kls-1-5t-6576")</f>
        <v>0.0</v>
      </c>
      <c r="E1703" s="7" t="n">
        <f>HYPERLINK("https://www.somogyi.hu/data/img/product_main_images/small/06576.jpg","https://www.somogyi.hu/data/img/product_main_images/small/06576.jpg")</f>
        <v>0.0</v>
      </c>
      <c r="F1703" s="2" t="inlineStr">
        <is>
          <t>5998312756157</t>
        </is>
      </c>
      <c r="G1703" s="4" t="inlineStr">
        <is>
          <t>Megbízható kialakítással rendelkező hangtechnikai kellékeket szeretne vásárolni! Ez esetben nálunk jó helyen jár!
A KLS szériába tartozó vezetékek 0,15 mm-es elemi szállal, valamint rézbevonatú alumíniummal lettek ellátva. A KLS 1,5T transzparent hangszóróvezeték 2 x 1,5 mm²-es tulajdonsággal rendelkezik. Hossza: 100 m/tekercs. Válassza a minőségi termékeket és rendeljen webáruházunkból.</t>
        </is>
      </c>
    </row>
    <row r="1704">
      <c r="A1704" s="3" t="inlineStr">
        <is>
          <t>KLS 1T</t>
        </is>
      </c>
      <c r="B1704" s="2" t="inlineStr">
        <is>
          <t>SAL KLS 1T hangszóróvezeték, átlátszó, 2 x 1 mm2, 0,15 mm elemi szál, 100 m/ tekercs</t>
        </is>
      </c>
      <c r="C1704" s="1" t="n">
        <v>149.0</v>
      </c>
      <c r="D1704" s="7" t="n">
        <f>HYPERLINK("https://www.somogyi.hu/product/sal-kls-1t-hangszorovezetek-atlatszo-2-x-1-mm2-0-15-mm-elemi-szal-100-m-tekercs-kls-1t-6575","https://www.somogyi.hu/product/sal-kls-1t-hangszorovezetek-atlatszo-2-x-1-mm2-0-15-mm-elemi-szal-100-m-tekercs-kls-1t-6575")</f>
        <v>0.0</v>
      </c>
      <c r="E1704" s="7" t="n">
        <f>HYPERLINK("https://www.somogyi.hu/data/img/product_main_images/small/06575.jpg","https://www.somogyi.hu/data/img/product_main_images/small/06575.jpg")</f>
        <v>0.0</v>
      </c>
      <c r="F1704" s="2" t="inlineStr">
        <is>
          <t>5998312756140</t>
        </is>
      </c>
      <c r="G1704" s="4" t="inlineStr">
        <is>
          <t>Megbízható kialakítással rendelkező hangtechnikai kellékeket szeretne vásárolni! Ez esetben nálunk jó helyen jár!
A KLS szériába tartozó vezetékek 0,15 mm-es elemi szállal, valamint rézbevonatú alumíniummal lettek ellátva. A KLS 1T transzparent hangszóróvezeték 2 x 1,0 mm²-es tulajdonsággal rendelkezik. Hossza: 100 m/tekercs. Válassza a minőségi termékeket és rendeljen webáruházunkból.</t>
        </is>
      </c>
    </row>
    <row r="1705">
      <c r="A1705" s="3" t="inlineStr">
        <is>
          <t>KLS 1,5</t>
        </is>
      </c>
      <c r="B1705" s="2" t="inlineStr">
        <is>
          <t>SAL KLS 1,5 hangszóróvezeték, piros-fekete, 2 x 1,5 mm2, 0,15 mm elemi szál, 100 m/ tekercs</t>
        </is>
      </c>
      <c r="C1705" s="1" t="n">
        <v>179.0</v>
      </c>
      <c r="D1705" s="7" t="n">
        <f>HYPERLINK("https://www.somogyi.hu/product/sal-kls-1-5-hangszorovezetek-piros-fekete-2-x-1-5-mm2-0-15-mm-elemi-szal-100-m-tekercs-kls-1-5-6571","https://www.somogyi.hu/product/sal-kls-1-5-hangszorovezetek-piros-fekete-2-x-1-5-mm2-0-15-mm-elemi-szal-100-m-tekercs-kls-1-5-6571")</f>
        <v>0.0</v>
      </c>
      <c r="E1705" s="7" t="n">
        <f>HYPERLINK("https://www.somogyi.hu/data/img/product_main_images/small/06571.jpg","https://www.somogyi.hu/data/img/product_main_images/small/06571.jpg")</f>
        <v>0.0</v>
      </c>
      <c r="F1705" s="2" t="inlineStr">
        <is>
          <t>5998312756119</t>
        </is>
      </c>
      <c r="G1705" s="4" t="inlineStr">
        <is>
          <t>Megbízható kialakítással rendelkező hangtechnikai kellékeket szeretne vásárolni! Ez esetben nálunk jó helyen jár!
A KLS szériába tartozó vezetékek 0,15 mm-es elemi szállal, valamint rézbevonatú alumíniummal lettek ellátva. A KLS 1,5 piros-fekete színű hangszóróvezeték 2 x 1,5 mm²-es tulajdonsággal rendelkezik. Hossza: 100 m/tekercs. Válassza a minőségi termékeket és rendeljen webáruházunkból.</t>
        </is>
      </c>
    </row>
    <row r="1706">
      <c r="A1706" s="3" t="inlineStr">
        <is>
          <t>KLS 1</t>
        </is>
      </c>
      <c r="B1706" s="2" t="inlineStr">
        <is>
          <t>SAL KLS 1 hangszóróvezeték, piros-fekete, 2 x 1 mm2, 0,15 mm elemi szál, 100 m/ tekercs</t>
        </is>
      </c>
      <c r="C1706" s="1" t="n">
        <v>149.0</v>
      </c>
      <c r="D1706" s="7" t="n">
        <f>HYPERLINK("https://www.somogyi.hu/product/sal-kls-1-hangszorovezetek-piros-fekete-2-x-1-mm2-0-15-mm-elemi-szal-100-m-tekercs-kls-1-6570","https://www.somogyi.hu/product/sal-kls-1-hangszorovezetek-piros-fekete-2-x-1-mm2-0-15-mm-elemi-szal-100-m-tekercs-kls-1-6570")</f>
        <v>0.0</v>
      </c>
      <c r="E1706" s="7" t="n">
        <f>HYPERLINK("https://www.somogyi.hu/data/img/product_main_images/small/06570.jpg","https://www.somogyi.hu/data/img/product_main_images/small/06570.jpg")</f>
        <v>0.0</v>
      </c>
      <c r="F1706" s="2" t="inlineStr">
        <is>
          <t>5998312756102</t>
        </is>
      </c>
      <c r="G1706" s="4" t="inlineStr">
        <is>
          <t>Megbízható kialakítással rendelkező hangtechnikai kellékeket szeretne vásárolni! Ez esetben nálunk jó helyen jár!
A KLS szériába tartozó vezetékek 0,15 mm-es elemi szállal, valamint rézbevonatú alumíniummal lettek ellátva. A KLS 1 piros-fekete színű hangszóróvezeték 2 x 1,0 mm²-es tulajdonsággal rendelkezik. Hossza: 100 m/tekercs. Válassza a minőségi termékeket és rendeljen webáruházunkból.</t>
        </is>
      </c>
    </row>
    <row r="1707">
      <c r="A1707" s="3" t="inlineStr">
        <is>
          <t>KLS 0,5</t>
        </is>
      </c>
      <c r="B1707" s="2" t="inlineStr">
        <is>
          <t>SAL KLS 0,5 hangszóróvezeték, piros-fekete, 2 x 0,5 mm2, 0,15 mm elemi szál, 100 m/ tekercs</t>
        </is>
      </c>
      <c r="C1707" s="1" t="n">
        <v>85.0</v>
      </c>
      <c r="D1707" s="7" t="n">
        <f>HYPERLINK("https://www.somogyi.hu/product/sal-kls-0-5-hangszorovezetek-piros-fekete-2-x-0-5-mm2-0-15-mm-elemi-szal-100-m-tekercs-kls-0-5-6568","https://www.somogyi.hu/product/sal-kls-0-5-hangszorovezetek-piros-fekete-2-x-0-5-mm2-0-15-mm-elemi-szal-100-m-tekercs-kls-0-5-6568")</f>
        <v>0.0</v>
      </c>
      <c r="E1707" s="7" t="n">
        <f>HYPERLINK("https://www.somogyi.hu/data/img/product_main_images/small/06568.jpg","https://www.somogyi.hu/data/img/product_main_images/small/06568.jpg")</f>
        <v>0.0</v>
      </c>
      <c r="F1707" s="2" t="inlineStr">
        <is>
          <t>5998312756089</t>
        </is>
      </c>
      <c r="G1707" s="4" t="inlineStr">
        <is>
          <t>Megbízható kialakítással rendelkező hangtechnikai kellékeket szeretne vásárolni! Ez esetben nálunk jó helyen jár!
A KLS szériába tartozó vezetékek 0,15 mm-es elemi szállal, valamint rézbevonatú alumíniummal lettek ellátva. A KLS 0,5 piros-fekete színű hangszóróvezeték 2 x 0,5 mm²-es tulajdonsággal rendelkezik. Hossza: 100 m/tekercs. Válassza a minőségi termékeket és rendeljen webáruházunkból.</t>
        </is>
      </c>
    </row>
    <row r="1708">
      <c r="A1708" s="3" t="inlineStr">
        <is>
          <t>KLS 0,35</t>
        </is>
      </c>
      <c r="B1708" s="2" t="inlineStr">
        <is>
          <t>SAL KLS 0,35 hangszóróvezeték, piros-fekete, 2 x 0,35 mm2, 0,15 mm elemi szál, 100 m/ tekercs</t>
        </is>
      </c>
      <c r="C1708" s="1" t="n">
        <v>69.0</v>
      </c>
      <c r="D1708" s="7" t="n">
        <f>HYPERLINK("https://www.somogyi.hu/product/sal-kls-0-35-hangszorovezetek-piros-fekete-2-x-0-35-mm2-0-15-mm-elemi-szal-100-m-tekercs-kls-0-35-6567","https://www.somogyi.hu/product/sal-kls-0-35-hangszorovezetek-piros-fekete-2-x-0-35-mm2-0-15-mm-elemi-szal-100-m-tekercs-kls-0-35-6567")</f>
        <v>0.0</v>
      </c>
      <c r="E1708" s="7" t="n">
        <f>HYPERLINK("https://www.somogyi.hu/data/img/product_main_images/small/06567.jpg","https://www.somogyi.hu/data/img/product_main_images/small/06567.jpg")</f>
        <v>0.0</v>
      </c>
      <c r="F1708" s="2" t="inlineStr">
        <is>
          <t>5998312756072</t>
        </is>
      </c>
      <c r="G1708" s="4" t="inlineStr">
        <is>
          <t>Megbízható kialakítással rendelkező hangtechnikai kellékeket szeretne vásárolni! Ez esetben nálunk jó helyen jár!
A KLS szériába tartozó vezetékek 0,15 mm-es elemi szállal, valamint rézbevonatú alumíniummal lettek ellátva. A KLS 0,35 piros-fekete színű hangszoróvezeték 2 x 0,35 mm²-es tulajdonsággal rendelkezik. Hossza: 100 m/tekercs. Válassza a minőségi termékeket és rendeljen webáruházunkból.</t>
        </is>
      </c>
    </row>
    <row r="1709">
      <c r="A1709" s="6" t="inlineStr">
        <is>
          <t xml:space="preserve">   Hangtechnika / Hangváltó</t>
        </is>
      </c>
      <c r="B1709" s="6" t="inlineStr">
        <is>
          <t/>
        </is>
      </c>
      <c r="C1709" s="6" t="inlineStr">
        <is>
          <t/>
        </is>
      </c>
      <c r="D1709" s="6" t="inlineStr">
        <is>
          <t/>
        </is>
      </c>
      <c r="E1709" s="6" t="inlineStr">
        <is>
          <t/>
        </is>
      </c>
      <c r="F1709" s="6" t="inlineStr">
        <is>
          <t/>
        </is>
      </c>
      <c r="G1709" s="6" t="inlineStr">
        <is>
          <t/>
        </is>
      </c>
    </row>
    <row r="1710">
      <c r="A1710" s="3" t="inlineStr">
        <is>
          <t>HV 328</t>
        </is>
      </c>
      <c r="B1710" s="2" t="inlineStr">
        <is>
          <t>SAL HV 328 hangváltó, 200 W, 3 utas, 500 Hz/3000 Hz keresztezési frekvencia</t>
        </is>
      </c>
      <c r="C1710" s="1" t="n">
        <v>18290.0</v>
      </c>
      <c r="D1710" s="7" t="n">
        <f>HYPERLINK("https://www.somogyi.hu/product/sal-hv-328-hangvalto-200-w-3-utas-500-hz-3000-hz-keresztezesi-frekvencia-hv-328-4301","https://www.somogyi.hu/product/sal-hv-328-hangvalto-200-w-3-utas-500-hz-3000-hz-keresztezesi-frekvencia-hv-328-4301")</f>
        <v>0.0</v>
      </c>
      <c r="E1710" s="7" t="n">
        <f>HYPERLINK("https://www.somogyi.hu/data/img/product_main_images/small/04301.jpg","https://www.somogyi.hu/data/img/product_main_images/small/04301.jpg")</f>
        <v>0.0</v>
      </c>
      <c r="F1710" s="2" t="inlineStr">
        <is>
          <t>5998312737644</t>
        </is>
      </c>
      <c r="G1710" s="4" t="inlineStr">
        <is>
          <t>Nálunk garantáltan megtalálhatja az egyedi hangtechnikai eszközöket is! A HV 328 típusú hangváltó kifejezetten ajánlott a specifikusabb hangosítástechnikai célokra.
Terhelhetősége: max. 200 W, keresztezési frekvenciája: 500 Hz /3.000 Hz. Levágási meredeksége: 12 dB/oktáv. A termék befoglaló mérete: (Magasság: 30 cm, hosszússág: 160 mm, szélesség: 137 mm.) Átkapcsolható kimeneti szint magas: 0/-3 dB, közép: 0/-2 dB. Válassza a minőségi termékeket és rendeljen webáruházunkból.</t>
        </is>
      </c>
    </row>
    <row r="1711">
      <c r="A1711" s="3" t="inlineStr">
        <is>
          <t>HVP 28</t>
        </is>
      </c>
      <c r="B1711" s="2" t="inlineStr">
        <is>
          <t>SAL HVP 28 hangváltó, 600 W, 2800 Hz keresztezési frekvencia, professzionális</t>
        </is>
      </c>
      <c r="C1711" s="1" t="n">
        <v>13390.0</v>
      </c>
      <c r="D1711" s="7" t="n">
        <f>HYPERLINK("https://www.somogyi.hu/product/sal-hvp-28-hangvalto-600-w-2800-hz-keresztezesi-frekvencia-professzionalis-hvp-28-8714","https://www.somogyi.hu/product/sal-hvp-28-hangvalto-600-w-2800-hz-keresztezesi-frekvencia-professzionalis-hvp-28-8714")</f>
        <v>0.0</v>
      </c>
      <c r="E1711" s="7" t="n">
        <f>HYPERLINK("https://www.somogyi.hu/data/img/product_main_images/small/08714.jpg","https://www.somogyi.hu/data/img/product_main_images/small/08714.jpg")</f>
        <v>0.0</v>
      </c>
      <c r="F1711" s="2" t="inlineStr">
        <is>
          <t>5998312775981</t>
        </is>
      </c>
      <c r="G1711" s="4" t="inlineStr">
        <is>
          <t>Mindene a zene? Ez esetben ne feledkezzen meg a speciálisabb hangtechnikai eszközökről sem! A HVP 28-as típusú hangváltó kifejezetten ajánlott a professzionális hangosítástechnikai célokra.
Terhelhetősége: max. 600 W, keresztezési frekvenciája: 2.800 Hz. Levágási meredeksége: 12 dB/oktáv (mély), 18 dB/oktáv (magas).
Mérete: 150 x 28 x 95 mm. Válassza a minőségi termékeket és rendeljen webáruházunkból.</t>
        </is>
      </c>
    </row>
    <row r="1712">
      <c r="A1712" s="3" t="inlineStr">
        <is>
          <t>HV 228</t>
        </is>
      </c>
      <c r="B1712" s="2" t="inlineStr">
        <is>
          <t>SAL HV 228 hangváltó, 200 W, 2 utas, 3000 Hz keresztezési frekvencia</t>
        </is>
      </c>
      <c r="C1712" s="1" t="n">
        <v>8690.0</v>
      </c>
      <c r="D1712" s="7" t="n">
        <f>HYPERLINK("https://www.somogyi.hu/product/sal-hv-228-hangvalto-200-w-2-utas-3000-hz-keresztezesi-frekvencia-hv-228-4300","https://www.somogyi.hu/product/sal-hv-228-hangvalto-200-w-2-utas-3000-hz-keresztezesi-frekvencia-hv-228-4300")</f>
        <v>0.0</v>
      </c>
      <c r="E1712" s="7" t="n">
        <f>HYPERLINK("https://www.somogyi.hu/data/img/product_main_images/small/04300.jpg","https://www.somogyi.hu/data/img/product_main_images/small/04300.jpg")</f>
        <v>0.0</v>
      </c>
      <c r="F1712" s="2" t="inlineStr">
        <is>
          <t>5998312737637</t>
        </is>
      </c>
      <c r="G1712" s="4" t="inlineStr">
        <is>
          <t>Nálunk garantáltan megtalálhatja az egyedi hangtechnikai eszközöket is! A HV 228 típusú hangváltó kifejezetten ajánlott a specifikusabb hangosítástechnikai célokra.
Terhelhetősége: max. 200 W, keresztezési frekvenciája: 3.000 Hz. Levágási meredeksége: 12 dB/oktáv. A termék befoglaló mérete: (Magasság: 28 cm, hosszússág: 120 mm, szélesség: 95 mm.) Átkapcsolható kimeneti szint magas: 0/-3 dB. Válassza a minőségi termékeket és rendeljen webáruházunkból.</t>
        </is>
      </c>
    </row>
    <row r="1713">
      <c r="A1713" s="6" t="inlineStr">
        <is>
          <t xml:space="preserve">   Hangtechnika / Hangtechnikai csatlakozó</t>
        </is>
      </c>
      <c r="B1713" s="6" t="inlineStr">
        <is>
          <t/>
        </is>
      </c>
      <c r="C1713" s="6" t="inlineStr">
        <is>
          <t/>
        </is>
      </c>
      <c r="D1713" s="6" t="inlineStr">
        <is>
          <t/>
        </is>
      </c>
      <c r="E1713" s="6" t="inlineStr">
        <is>
          <t/>
        </is>
      </c>
      <c r="F1713" s="6" t="inlineStr">
        <is>
          <t/>
        </is>
      </c>
      <c r="G1713" s="6" t="inlineStr">
        <is>
          <t/>
        </is>
      </c>
    </row>
    <row r="1714">
      <c r="A1714" s="3" t="inlineStr">
        <is>
          <t>SPK 900</t>
        </is>
      </c>
      <c r="B1714" s="2" t="inlineStr">
        <is>
          <t>SAL SPK 900 speakon dugó, 4 pólus, csavarozható, törésgátló</t>
        </is>
      </c>
      <c r="C1714" s="1" t="n">
        <v>1590.0</v>
      </c>
      <c r="D1714" s="7" t="n">
        <f>HYPERLINK("https://www.somogyi.hu/product/sal-spk-900-speakon-dugo-4-polus-csavarozhato-toresgatlo-spk-900-4202","https://www.somogyi.hu/product/sal-spk-900-speakon-dugo-4-polus-csavarozhato-toresgatlo-spk-900-4202")</f>
        <v>0.0</v>
      </c>
      <c r="E1714" s="7" t="n">
        <f>HYPERLINK("https://www.somogyi.hu/data/img/product_main_images/small/04202.jpg","https://www.somogyi.hu/data/img/product_main_images/small/04202.jpg")</f>
        <v>0.0</v>
      </c>
      <c r="F1714" s="2" t="inlineStr">
        <is>
          <t>5998312737170</t>
        </is>
      </c>
      <c r="G1714" s="4" t="inlineStr">
        <is>
          <t>Az ideális hangtechnikai csatlakozót keresi HiFi rendszerének a működtetéséhez? Ez esetben a legjobb helyen jár, hiszen széles csatlakozó kínálatunkban garantáltan megtalálhatja az igényeinek megfelelő kelléket!
Az SP 900 egy masszív kialakítású 4 pólusú Speakon dugó, amely törésgátlóval is el lett látva, így garantált a hosszú élettartam. Válassza a minőségi termékeket és rendeljen webáruházunkból.</t>
        </is>
      </c>
    </row>
    <row r="1715">
      <c r="A1715" s="3" t="inlineStr">
        <is>
          <t>SL 2ER</t>
        </is>
      </c>
      <c r="B1715" s="2" t="inlineStr">
        <is>
          <t>SAL SL 2ER hangfalcsatlakozó, 2 pólus, rugós, 52 x 22 mm</t>
        </is>
      </c>
      <c r="C1715" s="1" t="n">
        <v>149.0</v>
      </c>
      <c r="D1715" s="7" t="n">
        <f>HYPERLINK("https://www.somogyi.hu/product/sal-sl-2er-hangfalcsatlakozo-2-polus-rugos-52-x-22-mm-sl-2er-1875","https://www.somogyi.hu/product/sal-sl-2er-hangfalcsatlakozo-2-polus-rugos-52-x-22-mm-sl-2er-1875")</f>
        <v>0.0</v>
      </c>
      <c r="E1715" s="7" t="n">
        <f>HYPERLINK("https://www.somogyi.hu/data/img/product_main_images/small/01875.jpg","https://www.somogyi.hu/data/img/product_main_images/small/01875.jpg")</f>
        <v>0.0</v>
      </c>
      <c r="F1715" s="2" t="inlineStr">
        <is>
          <t>5998312704240</t>
        </is>
      </c>
      <c r="G1715" s="4" t="inlineStr">
        <is>
          <t>Keresse a megbízható hangtechnikai kiegészítőket! Az SL 2ER egy masszív kialakítású 2 pólusú rugós hangfalaljzat, amely 52 x 22 mm-es méretben kapható. Válassza a minőségi termékeket és rendeljen webáruházunkból.</t>
        </is>
      </c>
    </row>
    <row r="1716">
      <c r="A1716" s="3" t="inlineStr">
        <is>
          <t>SPK 850</t>
        </is>
      </c>
      <c r="B1716" s="2" t="inlineStr">
        <is>
          <t>SAL SPK 850 speakon aljzat, 4 pólus, sarus, 30 x 25 mm</t>
        </is>
      </c>
      <c r="C1716" s="1" t="n">
        <v>559.0</v>
      </c>
      <c r="D1716" s="7" t="n">
        <f>HYPERLINK("https://www.somogyi.hu/product/sal-spk-850-speakon-aljzat-4-polus-sarus-30-x-25-mm-spk-850-4197","https://www.somogyi.hu/product/sal-spk-850-speakon-aljzat-4-polus-sarus-30-x-25-mm-spk-850-4197")</f>
        <v>0.0</v>
      </c>
      <c r="E1716" s="7" t="n">
        <f>HYPERLINK("https://www.somogyi.hu/data/img/product_main_images/small/04197.jpg","https://www.somogyi.hu/data/img/product_main_images/small/04197.jpg")</f>
        <v>0.0</v>
      </c>
      <c r="F1716" s="2" t="inlineStr">
        <is>
          <t>5998312737125</t>
        </is>
      </c>
      <c r="G1716" s="4" t="inlineStr">
        <is>
          <t>Az ideális hangtechnikai csatlakozót keresi HiFi rendszerének a működtetéséhez? Ez esetben a legjobb helyen jár, hiszen széles csatlakozó kínálatunkban garantáltan megtalálhatja az igényeinek megfelelő kelléket!
Az SPK 850 egy masszív kialakítású 4 pólusú beépíthető Speakon aljzat, amely sarus kivitelben kapható. Mérete: 30 x 25 mm. Válassza a minőségi termékeket és rendeljen webáruházunkból.</t>
        </is>
      </c>
    </row>
    <row r="1717">
      <c r="A1717" s="3" t="inlineStr">
        <is>
          <t>SL 6MG</t>
        </is>
      </c>
      <c r="B1717" s="2" t="inlineStr">
        <is>
          <t>SAL SL 6MG hangfalcsatlakozó, 2 banáncsatlakozó, 105 mm átmérő</t>
        </is>
      </c>
      <c r="C1717" s="1" t="n">
        <v>1250.0</v>
      </c>
      <c r="D1717" s="7" t="n">
        <f>HYPERLINK("https://www.somogyi.hu/product/sal-sl-6mg-hangfalcsatlakozo-2-banancsatlakozo-105-mm-atmero-sl-6mg-2596","https://www.somogyi.hu/product/sal-sl-6mg-hangfalcsatlakozo-2-banancsatlakozo-105-mm-atmero-sl-6mg-2596")</f>
        <v>0.0</v>
      </c>
      <c r="E1717" s="7" t="n">
        <f>HYPERLINK("https://www.somogyi.hu/data/img/product_main_images/small/02596.jpg","https://www.somogyi.hu/data/img/product_main_images/small/02596.jpg")</f>
        <v>0.0</v>
      </c>
      <c r="F1717" s="2" t="inlineStr">
        <is>
          <t>5998312729113</t>
        </is>
      </c>
      <c r="G1717" s="4" t="inlineStr">
        <is>
          <t>Keresse a megbízható, masszív kialakítású hangtechnikai kiegészítőket! Az SL 6MG hangfalaljzat 2 db aranyozott fém banáncsatlakozóval, 105 mm-es méretben kapható. Válassza a minőségi termékeket és rendeljen webáruházunkból.</t>
        </is>
      </c>
    </row>
    <row r="1718">
      <c r="A1718" s="3" t="inlineStr">
        <is>
          <t>S 24</t>
        </is>
      </c>
      <c r="B1718" s="2" t="inlineStr">
        <is>
          <t>SAL S 24 mikrofonaljzat, XLR, 3 pólus, lengő</t>
        </is>
      </c>
      <c r="C1718" s="1" t="n">
        <v>599.0</v>
      </c>
      <c r="D1718" s="7" t="n">
        <f>HYPERLINK("https://www.somogyi.hu/product/sal-s-24-mikrofonaljzat-xlr-3-polus-lengo-s-24-1822","https://www.somogyi.hu/product/sal-s-24-mikrofonaljzat-xlr-3-polus-lengo-s-24-1822")</f>
        <v>0.0</v>
      </c>
      <c r="E1718" s="7" t="n">
        <f>HYPERLINK("https://www.somogyi.hu/data/img/product_main_images/small/01822.jpg","https://www.somogyi.hu/data/img/product_main_images/small/01822.jpg")</f>
        <v>0.0</v>
      </c>
      <c r="F1718" s="2" t="inlineStr">
        <is>
          <t>5998312703458</t>
        </is>
      </c>
      <c r="G1718" s="4" t="inlineStr">
        <is>
          <t>Az ideális hangtechnikai csatlakozót keresi HiFi rendszerének a működtetéséhez? Ez esetben a legjobb helyen jár, hiszen széles csatlakozó kínálatunkban garantáltan megtalálhatja az igényeinek megfelelő kelléket!
A S 24 egy masszív kialakítású 3 pólusú lengő mikrofon aljzat.  Válassza a minőségi termékeket és rendeljen webáruházunkból.</t>
        </is>
      </c>
    </row>
    <row r="1719">
      <c r="A1719" s="3" t="inlineStr">
        <is>
          <t>SL 5ER</t>
        </is>
      </c>
      <c r="B1719" s="2" t="inlineStr">
        <is>
          <t>SAL SL 5ER hangfalcsatlakozó, 2 pólus, rugós, 75 mm átmérő</t>
        </is>
      </c>
      <c r="C1719" s="1" t="n">
        <v>299.0</v>
      </c>
      <c r="D1719" s="7" t="n">
        <f>HYPERLINK("https://www.somogyi.hu/product/sal-sl-5er-hangfalcsatlakozo-2-polus-rugos-75-mm-atmero-sl-5er-2008","https://www.somogyi.hu/product/sal-sl-5er-hangfalcsatlakozo-2-polus-rugos-75-mm-atmero-sl-5er-2008")</f>
        <v>0.0</v>
      </c>
      <c r="E1719" s="7" t="n">
        <f>HYPERLINK("https://www.somogyi.hu/data/img/product_main_images/small/02008.jpg","https://www.somogyi.hu/data/img/product_main_images/small/02008.jpg")</f>
        <v>0.0</v>
      </c>
      <c r="F1719" s="2" t="inlineStr">
        <is>
          <t>5998312717615</t>
        </is>
      </c>
      <c r="G1719" s="4" t="inlineStr">
        <is>
          <t>Keresse a megbízható hangtechnikai kiegészítőket! Az SL 5ER egy masszív kialakítású 2 pólusú rugós hangfalaljzat, amely 75 mm-es méretben kapható. Válassza a minőségi termékeket és rendeljen webáruházunkból.</t>
        </is>
      </c>
    </row>
    <row r="1720">
      <c r="A1720" s="3" t="inlineStr">
        <is>
          <t>SL 5</t>
        </is>
      </c>
      <c r="B1720" s="2" t="inlineStr">
        <is>
          <t>SAL SL 5 hangszóródugó, 2 pólus, rugós, csavarozható, törésgátló</t>
        </is>
      </c>
      <c r="C1720" s="1" t="n">
        <v>229.0</v>
      </c>
      <c r="D1720" s="7" t="n">
        <f>HYPERLINK("https://www.somogyi.hu/product/sal-sl-5-hangszorodugo-2-polus-rugos-csavarozhato-toresgatlo-sl-5-4270","https://www.somogyi.hu/product/sal-sl-5-hangszorodugo-2-polus-rugos-csavarozhato-toresgatlo-sl-5-4270")</f>
        <v>0.0</v>
      </c>
      <c r="E1720" s="7" t="n">
        <f>HYPERLINK("https://www.somogyi.hu/data/img/product_main_images/small/04270.jpg","https://www.somogyi.hu/data/img/product_main_images/small/04270.jpg")</f>
        <v>0.0</v>
      </c>
      <c r="F1720" s="2" t="inlineStr">
        <is>
          <t>5998312708958</t>
        </is>
      </c>
      <c r="G1720" s="4" t="inlineStr">
        <is>
          <t>Az ideális hangtechnikai csatlakozót keresi HiFi rendszerének a működtetéséhez? Ez esetben a legjobb helyen jár, hiszen széles csatlakozó kínálatunkban garantáltan megtalálhatja az igényeinek megfelelő kelléket!
A SL 5 csavarozható lengő dugó, amely törésgátlóval is el lett látva, így garantált a hosszú élettartam. Válassza a minőségi termékeket és rendeljen webáruházunkból.</t>
        </is>
      </c>
    </row>
    <row r="1721">
      <c r="A1721" s="3" t="inlineStr">
        <is>
          <t>S 23</t>
        </is>
      </c>
      <c r="B1721" s="2" t="inlineStr">
        <is>
          <t>SAL S 23 mikrofondugó, XLR, 3 pólus, lengő</t>
        </is>
      </c>
      <c r="C1721" s="1" t="n">
        <v>559.0</v>
      </c>
      <c r="D1721" s="7" t="n">
        <f>HYPERLINK("https://www.somogyi.hu/product/sal-s-23-mikrofondugo-xlr-3-polus-lengo-s-23-1821","https://www.somogyi.hu/product/sal-s-23-mikrofondugo-xlr-3-polus-lengo-s-23-1821")</f>
        <v>0.0</v>
      </c>
      <c r="E1721" s="7" t="n">
        <f>HYPERLINK("https://www.somogyi.hu/data/img/product_main_images/small/01821.jpg","https://www.somogyi.hu/data/img/product_main_images/small/01821.jpg")</f>
        <v>0.0</v>
      </c>
      <c r="F1721" s="2" t="inlineStr">
        <is>
          <t>5998312703441</t>
        </is>
      </c>
      <c r="G1721" s="4" t="inlineStr">
        <is>
          <t>Az ideális hangtechnikai csatlakozót keresi HiFi rendszerének a működtetéséhez? Ez esetben a legjobb helyen jár, hiszen széles csatlakozó kínálatunkban garantáltan megtalálhatja az igényeinek megfelelő kelléket!
A S 23 egy masszív kialakítású 3 pólusú mikrofondugó. Válassza a minőségi termékeket és rendeljen webáruházunkból.</t>
        </is>
      </c>
    </row>
    <row r="1722">
      <c r="A1722" s="3" t="inlineStr">
        <is>
          <t>S 1090X</t>
        </is>
      </c>
      <c r="B1722" s="2" t="inlineStr">
        <is>
          <t>Speakon dugó, 4 pólusú, lengő</t>
        </is>
      </c>
      <c r="C1722" s="1" t="n">
        <v>1750.0</v>
      </c>
      <c r="D1722" s="7" t="n">
        <f>HYPERLINK("https://www.somogyi.hu/product/speakon-dugo-4-polusu-lengo-s-1090x-5283","https://www.somogyi.hu/product/speakon-dugo-4-polusu-lengo-s-1090x-5283")</f>
        <v>0.0</v>
      </c>
      <c r="E1722" s="7" t="n">
        <f>HYPERLINK("https://www.somogyi.hu/data/img/product_main_images/small/05283.jpg","https://www.somogyi.hu/data/img/product_main_images/small/05283.jpg")</f>
        <v>0.0</v>
      </c>
      <c r="F1722" s="2" t="inlineStr">
        <is>
          <t>5998312746707</t>
        </is>
      </c>
      <c r="G1722" s="4" t="inlineStr">
        <is>
          <t xml:space="preserve"> • pólusok száma: 4 pólusú 
 • aranyozott csatlakozó: nem 
 • csatlakozás: nincs 
 • bekötés: csavaros 
 • bliszterben: igen</t>
        </is>
      </c>
    </row>
    <row r="1723">
      <c r="A1723" s="6" t="inlineStr">
        <is>
          <t xml:space="preserve">   Hangtechnika / Hangtechnikai kiegészítő</t>
        </is>
      </c>
      <c r="B1723" s="6" t="inlineStr">
        <is>
          <t/>
        </is>
      </c>
      <c r="C1723" s="6" t="inlineStr">
        <is>
          <t/>
        </is>
      </c>
      <c r="D1723" s="6" t="inlineStr">
        <is>
          <t/>
        </is>
      </c>
      <c r="E1723" s="6" t="inlineStr">
        <is>
          <t/>
        </is>
      </c>
      <c r="F1723" s="6" t="inlineStr">
        <is>
          <t/>
        </is>
      </c>
      <c r="G1723" s="6" t="inlineStr">
        <is>
          <t/>
        </is>
      </c>
    </row>
    <row r="1724">
      <c r="A1724" s="3" t="inlineStr">
        <is>
          <t>HT 401</t>
        </is>
      </c>
      <c r="B1724" s="2" t="inlineStr">
        <is>
          <t>SAL HT 401 hangfalsarok, 37 x 37 x 55 mm</t>
        </is>
      </c>
      <c r="C1724" s="1" t="n">
        <v>199.0</v>
      </c>
      <c r="D1724" s="7" t="n">
        <f>HYPERLINK("https://www.somogyi.hu/product/sal-ht-401-hangfalsarok-37-x-37-x-55-mm-ht-401-2672","https://www.somogyi.hu/product/sal-ht-401-hangfalsarok-37-x-37-x-55-mm-ht-401-2672")</f>
        <v>0.0</v>
      </c>
      <c r="E1724" s="7" t="n">
        <f>HYPERLINK("https://www.somogyi.hu/data/img/product_main_images/small/02672.jpg","https://www.somogyi.hu/data/img/product_main_images/small/02672.jpg")</f>
        <v>0.0</v>
      </c>
      <c r="F1724" s="2" t="inlineStr">
        <is>
          <t>5998312729960</t>
        </is>
      </c>
      <c r="G1724" s="4" t="inlineStr">
        <is>
          <t>Válogasson bátran a hangtechnikai kiegészítőink széles kínálatából! A HT 401 hangfalsarok műanyag kialakítással 37 x 37 x 55 mm-es méretben kapható. Válassza minőségi termékeket és rendeljen webáruházunkból.</t>
        </is>
      </c>
    </row>
    <row r="1725">
      <c r="A1725" s="3" t="inlineStr">
        <is>
          <t>SG 13</t>
        </is>
      </c>
      <c r="B1725" s="2" t="inlineStr">
        <is>
          <t>SAL SG 13 membránszegély, 130 mm</t>
        </is>
      </c>
      <c r="C1725" s="1" t="n">
        <v>749.0</v>
      </c>
      <c r="D1725" s="7" t="n">
        <f>HYPERLINK("https://www.somogyi.hu/product/sal-sg-13-membranszegely-130-mm-sg-13-2997","https://www.somogyi.hu/product/sal-sg-13-membranszegely-130-mm-sg-13-2997")</f>
        <v>0.0</v>
      </c>
      <c r="E1725" s="7" t="n">
        <f>HYPERLINK("https://www.somogyi.hu/data/img/product_main_images/small/02997.jpg","https://www.somogyi.hu/data/img/product_main_images/small/02997.jpg")</f>
        <v>0.0</v>
      </c>
      <c r="F1725" s="2" t="inlineStr">
        <is>
          <t>5998312733219</t>
        </is>
      </c>
      <c r="G1725"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13 típus 130 mm-es hangszóróval rendelkezik.  Válassza a minőségi termékeket és rendeljen webáruházunkból.</t>
        </is>
      </c>
    </row>
    <row r="1726">
      <c r="A1726" s="3" t="inlineStr">
        <is>
          <t>HT 2340</t>
        </is>
      </c>
      <c r="B1726" s="2" t="inlineStr">
        <is>
          <t>SAL HT 2340 hangelnyelő szivacs, 30 x 300 x 600 mm</t>
        </is>
      </c>
      <c r="C1726" s="1" t="n">
        <v>1550.0</v>
      </c>
      <c r="D1726" s="7" t="n">
        <f>HYPERLINK("https://www.somogyi.hu/product/sal-ht-2340-hangelnyelo-szivacs-30-x-300-x-600-mm-ht-2340-4146","https://www.somogyi.hu/product/sal-ht-2340-hangelnyelo-szivacs-30-x-300-x-600-mm-ht-2340-4146")</f>
        <v>0.0</v>
      </c>
      <c r="E1726" s="7" t="n">
        <f>HYPERLINK("https://www.somogyi.hu/data/img/product_main_images/small/04146.jpg","https://www.somogyi.hu/data/img/product_main_images/small/04146.jpg")</f>
        <v>0.0</v>
      </c>
      <c r="F1726" s="2" t="inlineStr">
        <is>
          <t>5998312736630</t>
        </is>
      </c>
      <c r="G1726" s="4" t="inlineStr">
        <is>
          <t>A HT 2340 hangelnyelő szivacs segítségével garantáltan tiszta basszus- és középhangzást tud biztosítani a kívánt helyiségben. A stabil szerkezetű, önhordó szivacs kifejezetten ideális a HIGH-END minőségű hangfalakhoz.  Színe: sötétszürke, Mérte: 30 mm vastag, 30 x 60 cm. Válassza a minőségi termékeket és rendeljen webáruházunkból.</t>
        </is>
      </c>
    </row>
    <row r="1727">
      <c r="A1727" s="3" t="inlineStr">
        <is>
          <t>HT 70/BK</t>
        </is>
      </c>
      <c r="B1727" s="2" t="inlineStr">
        <is>
          <t>SAL HT 70/BK hangfalbevonó kárpit, 70 x 140 cm</t>
        </is>
      </c>
      <c r="C1727" s="1" t="n">
        <v>3290.0</v>
      </c>
      <c r="D1727" s="7" t="n">
        <f>HYPERLINK("https://www.somogyi.hu/product/sal-ht-70-bk-hangfalbevono-karpit-70-x-140-cm-ht-70-bk-4283","https://www.somogyi.hu/product/sal-ht-70-bk-hangfalbevono-karpit-70-x-140-cm-ht-70-bk-4283")</f>
        <v>0.0</v>
      </c>
      <c r="E1727" s="7" t="n">
        <f>HYPERLINK("https://www.somogyi.hu/data/img/product_main_images/small/04283.jpg","https://www.somogyi.hu/data/img/product_main_images/small/04283.jpg")</f>
        <v>0.0</v>
      </c>
      <c r="F1727" s="2" t="inlineStr">
        <is>
          <t>5998312709085</t>
        </is>
      </c>
      <c r="G1727" s="4" t="inlineStr">
        <is>
          <t>Nálunk garantáltan megtalál minden hangtechnikai kiegészítőt! Legyen körültekintő és ne hagyja megrongálódni az értékes hangfalakat!
A HT 70/BK egy fekete színű könnyen vágható és ragasztható kárpit anyag, amely kiválóan alkalmas a felületi sérüléseknek kitett hangfalak bevonására. Mérete: 70 x 140 cm. Válassza a minőségi termékeket és rendeljen webáruházunkból.</t>
        </is>
      </c>
    </row>
    <row r="1728">
      <c r="A1728" s="3" t="inlineStr">
        <is>
          <t>HT 203</t>
        </is>
      </c>
      <c r="B1728" s="2" t="inlineStr">
        <is>
          <t>SAL HT 203 süllyesztett fogantyú hangfalhoz, fém, 220 x 163 x 60 mm</t>
        </is>
      </c>
      <c r="C1728" s="1" t="n">
        <v>4190.0</v>
      </c>
      <c r="D1728" s="7" t="n">
        <f>HYPERLINK("https://www.somogyi.hu/product/sal-ht-203-sullyesztett-fogantyu-hangfalhoz-fem-220-x-163-x-60-mm-ht-203-6921","https://www.somogyi.hu/product/sal-ht-203-sullyesztett-fogantyu-hangfalhoz-fem-220-x-163-x-60-mm-ht-203-6921")</f>
        <v>0.0</v>
      </c>
      <c r="E1728" s="7" t="n">
        <f>HYPERLINK("https://www.somogyi.hu/data/img/product_main_images/small/06921.jpg","https://www.somogyi.hu/data/img/product_main_images/small/06921.jpg")</f>
        <v>0.0</v>
      </c>
      <c r="F1728" s="2" t="inlineStr">
        <is>
          <t>5998312759349</t>
        </is>
      </c>
      <c r="G1728" s="4" t="inlineStr">
        <is>
          <t>Széles kínálatunkban garantáltan megtalálja az igényeinek megfelelő hangtechnikai kiegészítőt! A HT 203 professzionális fém szerkezetből álló, süllyesztett fogantyú, amely 220 x 163 x 60 mm-es méretben kapható. Válassza a minőségi termékeket és rendeljen webáruházunkból.</t>
        </is>
      </c>
    </row>
    <row r="1729">
      <c r="A1729" s="3" t="inlineStr">
        <is>
          <t>SG 20</t>
        </is>
      </c>
      <c r="B1729" s="2" t="inlineStr">
        <is>
          <t>SAL SG 20 membránszegély, 200 mm</t>
        </is>
      </c>
      <c r="C1729" s="1" t="n">
        <v>999.0</v>
      </c>
      <c r="D1729" s="7" t="n">
        <f>HYPERLINK("https://www.somogyi.hu/product/sal-sg-20-membranszegely-200-mm-sg-20-2603","https://www.somogyi.hu/product/sal-sg-20-membranszegely-200-mm-sg-20-2603")</f>
        <v>0.0</v>
      </c>
      <c r="E1729" s="7" t="n">
        <f>HYPERLINK("https://www.somogyi.hu/data/img/product_main_images/small/02603.jpg","https://www.somogyi.hu/data/img/product_main_images/small/02603.jpg")</f>
        <v>0.0</v>
      </c>
      <c r="F1729" s="2" t="inlineStr">
        <is>
          <t>5998312729182</t>
        </is>
      </c>
      <c r="G1729"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20 típus 200 mm-es hangszóróval rendelkezik.  Válassza a minőségi termékeket és rendeljen webáruházunkból.</t>
        </is>
      </c>
    </row>
    <row r="1730">
      <c r="A1730" s="3" t="inlineStr">
        <is>
          <t>KAH 202</t>
        </is>
      </c>
      <c r="B1730" s="2" t="inlineStr">
        <is>
          <t>SAL KAH 202 reflexcső, vágható, 45 mm átmérő, 100 mm, 4 db/ csomag</t>
        </is>
      </c>
      <c r="C1730" s="1" t="n">
        <v>479.0</v>
      </c>
      <c r="D1730" s="7" t="n">
        <f>HYPERLINK("https://www.somogyi.hu/product/sal-kah-202-reflexcso-vaghato-45-mm-atmero-100-mm-4-db-csomag-kah-202-2842","https://www.somogyi.hu/product/sal-kah-202-reflexcso-vaghato-45-mm-atmero-100-mm-4-db-csomag-kah-202-2842")</f>
        <v>0.0</v>
      </c>
      <c r="E1730" s="7" t="n">
        <f>HYPERLINK("https://www.somogyi.hu/data/img/product_main_images/small/02842.jpg","https://www.somogyi.hu/data/img/product_main_images/small/02842.jpg")</f>
        <v>0.0</v>
      </c>
      <c r="F1730" s="2" t="inlineStr">
        <is>
          <t>5998312731666</t>
        </is>
      </c>
      <c r="G1730" s="4" t="inlineStr">
        <is>
          <t>Keresse a megbízható, masszív kialakítású hangtechnikai kiegészítőket! A KAH 202 méretre vágható reflexcső 45 x 100 mm-es méretben kapható. Válassza a minőségi termékeket és rendeljen webáruházunkból.</t>
        </is>
      </c>
    </row>
    <row r="1731">
      <c r="A1731" s="3" t="inlineStr">
        <is>
          <t>KAH 303</t>
        </is>
      </c>
      <c r="B1731" s="2" t="inlineStr">
        <is>
          <t>SAL KAH 303 reflexcső, állítható hosszúságú, 66 mm átmérő, 125 - 250 mm, 2 db/ csomag</t>
        </is>
      </c>
      <c r="C1731" s="1" t="n">
        <v>1390.0</v>
      </c>
      <c r="D1731" s="7" t="n">
        <f>HYPERLINK("https://www.somogyi.hu/product/sal-kah-303-reflexcso-allithato-hosszusagu-66-mm-atmero-125-250-mm-2-db-csomag-kah-303-2841","https://www.somogyi.hu/product/sal-kah-303-reflexcso-allithato-hosszusagu-66-mm-atmero-125-250-mm-2-db-csomag-kah-303-2841")</f>
        <v>0.0</v>
      </c>
      <c r="E1731" s="7" t="n">
        <f>HYPERLINK("https://www.somogyi.hu/data/img/product_main_images/small/02841.jpg","https://www.somogyi.hu/data/img/product_main_images/small/02841.jpg")</f>
        <v>0.0</v>
      </c>
      <c r="F1731" s="2" t="inlineStr">
        <is>
          <t>5998312731659</t>
        </is>
      </c>
      <c r="G1731" s="4" t="inlineStr">
        <is>
          <t>Keresse a megbízható, masszív kialakítású hangtechnikai kiegészítőket! A KAH 303 reflexcső állítható hosszúsággal, 66 x 125 - 250 mm-es méretben kapható. Válassza a minőségi termékeket és rendeljen webáruházunkból.</t>
        </is>
      </c>
    </row>
    <row r="1732">
      <c r="A1732" s="3" t="inlineStr">
        <is>
          <t>SG 25</t>
        </is>
      </c>
      <c r="B1732" s="2" t="inlineStr">
        <is>
          <t>SAL SG 25 membránszegély, 250 mm</t>
        </is>
      </c>
      <c r="C1732" s="1" t="n">
        <v>1250.0</v>
      </c>
      <c r="D1732" s="7" t="n">
        <f>HYPERLINK("https://www.somogyi.hu/product/sal-sg-25-membranszegely-250-mm-sg-25-2604","https://www.somogyi.hu/product/sal-sg-25-membranszegely-250-mm-sg-25-2604")</f>
        <v>0.0</v>
      </c>
      <c r="E1732" s="7" t="n">
        <f>HYPERLINK("https://www.somogyi.hu/data/img/product_main_images/small/02604.jpg","https://www.somogyi.hu/data/img/product_main_images/small/02604.jpg")</f>
        <v>0.0</v>
      </c>
      <c r="F1732" s="2" t="inlineStr">
        <is>
          <t>5998312729199</t>
        </is>
      </c>
      <c r="G1732"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25 típus 250 mm-es hangszóróval rendelkezik.  Válassza a minőségi termékeket és rendeljen webáruházunkból.</t>
        </is>
      </c>
    </row>
    <row r="1733">
      <c r="A1733" s="3" t="inlineStr">
        <is>
          <t>SG 30</t>
        </is>
      </c>
      <c r="B1733" s="2" t="inlineStr">
        <is>
          <t>SAL SG 30 membránszegély, 300 mm</t>
        </is>
      </c>
      <c r="C1733" s="1" t="n">
        <v>1450.0</v>
      </c>
      <c r="D1733" s="7" t="n">
        <f>HYPERLINK("https://www.somogyi.hu/product/sal-sg-30-membranszegely-300-mm-sg-30-2605","https://www.somogyi.hu/product/sal-sg-30-membranszegely-300-mm-sg-30-2605")</f>
        <v>0.0</v>
      </c>
      <c r="E1733" s="7" t="n">
        <f>HYPERLINK("https://www.somogyi.hu/data/img/product_main_images/small/02605.jpg","https://www.somogyi.hu/data/img/product_main_images/small/02605.jpg")</f>
        <v>0.0</v>
      </c>
      <c r="F1733" s="2" t="inlineStr">
        <is>
          <t>5998312729205</t>
        </is>
      </c>
      <c r="G1733"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30 típus 300 mm-es hangszóróval rendelkezik.  Válassza a minőségi termékeket és rendeljen webáruházunkból.</t>
        </is>
      </c>
    </row>
    <row r="1734">
      <c r="A1734" s="3" t="inlineStr">
        <is>
          <t>HT 402</t>
        </is>
      </c>
      <c r="B1734" s="2" t="inlineStr">
        <is>
          <t>SAL HT 402 hangfalsarok, 54 x 54 x 81 mm</t>
        </is>
      </c>
      <c r="C1734" s="1" t="n">
        <v>289.0</v>
      </c>
      <c r="D1734" s="7" t="n">
        <f>HYPERLINK("https://www.somogyi.hu/product/sal-ht-402-hangfalsarok-54-x-54-x-81-mm-ht-402-2673","https://www.somogyi.hu/product/sal-ht-402-hangfalsarok-54-x-54-x-81-mm-ht-402-2673")</f>
        <v>0.0</v>
      </c>
      <c r="E1734" s="7" t="n">
        <f>HYPERLINK("https://www.somogyi.hu/data/img/product_main_images/small/02673.jpg","https://www.somogyi.hu/data/img/product_main_images/small/02673.jpg")</f>
        <v>0.0</v>
      </c>
      <c r="F1734" s="2" t="inlineStr">
        <is>
          <t>5998312729977</t>
        </is>
      </c>
      <c r="G1734" s="4" t="inlineStr">
        <is>
          <t>Válogasson bátran a hangtechnikai kiegészítőink széles kínálatából! A HT 402 hangfalsarok műanyag kialakítással 54 x 54 x 81 mm-es méretben kapható. Válassza minőségi termékeket és rendeljen webáruházunkból.</t>
        </is>
      </c>
    </row>
    <row r="1735">
      <c r="A1735" s="3" t="inlineStr">
        <is>
          <t>SG 16</t>
        </is>
      </c>
      <c r="B1735" s="2" t="inlineStr">
        <is>
          <t>SAL SG 16 membránszegély, 165 mm</t>
        </is>
      </c>
      <c r="C1735" s="1" t="n">
        <v>799.0</v>
      </c>
      <c r="D1735" s="7" t="n">
        <f>HYPERLINK("https://www.somogyi.hu/product/sal-sg-16-membranszegely-165-mm-sg-16-2996","https://www.somogyi.hu/product/sal-sg-16-membranszegely-165-mm-sg-16-2996")</f>
        <v>0.0</v>
      </c>
      <c r="E1735" s="7" t="n">
        <f>HYPERLINK("https://www.somogyi.hu/data/img/product_main_images/small/02996.jpg","https://www.somogyi.hu/data/img/product_main_images/small/02996.jpg")</f>
        <v>0.0</v>
      </c>
      <c r="F1735" s="2" t="inlineStr">
        <is>
          <t>5998312733202</t>
        </is>
      </c>
      <c r="G1735"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16 típus 165 mm-es hangszóróval rendelkezik.  Válassza a minőségi termékeket és rendeljen webáruházunkból.</t>
        </is>
      </c>
    </row>
    <row r="1736">
      <c r="A1736" s="3" t="inlineStr">
        <is>
          <t>HT 3123</t>
        </is>
      </c>
      <c r="B1736" s="2" t="inlineStr">
        <is>
          <t>SAL HT 3123 gumiláb hangdobozhoz, M5 rögzítés, 37 mm átmérő, 16 mm magas, 4 db/ csomag</t>
        </is>
      </c>
      <c r="C1736" s="1" t="n">
        <v>349.0</v>
      </c>
      <c r="D1736" s="7" t="n">
        <f>HYPERLINK("https://www.somogyi.hu/product/sal-ht-3123-gumilab-hangdobozhoz-m5-rogzites-37-mm-atmero-16-mm-magas-4-db-csomag-ht-3123-3313","https://www.somogyi.hu/product/sal-ht-3123-gumilab-hangdobozhoz-m5-rogzites-37-mm-atmero-16-mm-magas-4-db-csomag-ht-3123-3313")</f>
        <v>0.0</v>
      </c>
      <c r="E1736" s="7" t="n">
        <f>HYPERLINK("https://www.somogyi.hu/data/img/product_main_images/small/03313.jpg","https://www.somogyi.hu/data/img/product_main_images/small/03313.jpg")</f>
        <v>0.0</v>
      </c>
      <c r="F1736" s="2" t="inlineStr">
        <is>
          <t>5998312736371</t>
        </is>
      </c>
      <c r="G1736" s="4" t="inlineStr">
        <is>
          <t>Széles kínálatunkban garantáltan megtalálja az igényeinek megfelelő hangtechnikai kiegészítőt! A HT 3123 kemény, masszív gumiláb, amely beépített fém alátéttel rendelkezik. A gumiláb 5 mm-es csavarral rögzíthető. Mérete: 37 x 16 mm. Válassza a minőségi termékeket és rendeljen webáruházunkból.</t>
        </is>
      </c>
    </row>
    <row r="1737">
      <c r="A1737" s="3" t="inlineStr">
        <is>
          <t>HT 400</t>
        </is>
      </c>
      <c r="B1737" s="2" t="inlineStr">
        <is>
          <t>SAL HT 400 hangfalsarok, 40 x 40 x 40 mm</t>
        </is>
      </c>
      <c r="C1737" s="1" t="n">
        <v>269.0</v>
      </c>
      <c r="D1737" s="7" t="n">
        <f>HYPERLINK("https://www.somogyi.hu/product/sal-ht-400-hangfalsarok-40-x-40-x-40-mm-ht-400-2671","https://www.somogyi.hu/product/sal-ht-400-hangfalsarok-40-x-40-x-40-mm-ht-400-2671")</f>
        <v>0.0</v>
      </c>
      <c r="E1737" s="7" t="n">
        <f>HYPERLINK("https://www.somogyi.hu/data/img/product_main_images/small/02671.jpg","https://www.somogyi.hu/data/img/product_main_images/small/02671.jpg")</f>
        <v>0.0</v>
      </c>
      <c r="F1737" s="2" t="inlineStr">
        <is>
          <t>5998312729953</t>
        </is>
      </c>
      <c r="G1737" s="4" t="inlineStr">
        <is>
          <t>Válogasson bátran a hangtechnikai kiegészítőink széles kínálatából! A HT 400 hangfalsarok műanyag kialakítással 40 x 40 x 40 mm-es méretben kapható. Válassza minőségi termékeket és rendeljen webáruházunkból.</t>
        </is>
      </c>
    </row>
    <row r="1738">
      <c r="A1738" s="3" t="inlineStr">
        <is>
          <t>HT 200</t>
        </is>
      </c>
      <c r="B1738" s="2" t="inlineStr">
        <is>
          <t>SAL HT 200 hangfalhordfül, fém és gumi, 250 mm</t>
        </is>
      </c>
      <c r="C1738" s="1" t="n">
        <v>889.0</v>
      </c>
      <c r="D1738" s="7" t="n">
        <f>HYPERLINK("https://www.somogyi.hu/product/sal-ht-200-hangfalhordful-fem-es-gumi-250-mm-ht-200-2667","https://www.somogyi.hu/product/sal-ht-200-hangfalhordful-fem-es-gumi-250-mm-ht-200-2667")</f>
        <v>0.0</v>
      </c>
      <c r="E1738" s="7" t="n">
        <f>HYPERLINK("https://www.somogyi.hu/data/img/product_main_images/small/02667.jpg","https://www.somogyi.hu/data/img/product_main_images/small/02667.jpg")</f>
        <v>0.0</v>
      </c>
      <c r="F1738" s="2" t="inlineStr">
        <is>
          <t>5998312729915</t>
        </is>
      </c>
      <c r="G1738" s="4" t="inlineStr">
        <is>
          <t>Széles kínálatunkban garantáltan megtalálja az igényeinek megfelelő hangtechnikai kiegészítőt! A HT 200 fém + gumiból álló hangfalhordfül, amely 250 mm-es méretben kapható. Válassza a minőségi termékeket és rendeljen webáruházunkból.</t>
        </is>
      </c>
    </row>
    <row r="1739">
      <c r="A1739" s="3" t="inlineStr">
        <is>
          <t>HT 304</t>
        </is>
      </c>
      <c r="B1739" s="2" t="inlineStr">
        <is>
          <t>SAL HT 304 felfogatófül hangszórórácshoz, G típus, 8 db/ csomag</t>
        </is>
      </c>
      <c r="C1739" s="1" t="n">
        <v>89.0</v>
      </c>
      <c r="D1739" s="7" t="n">
        <f>HYPERLINK("https://www.somogyi.hu/product/sal-ht-304-felfogatoful-hangszororacshoz-g-tipus-8-db-csomag-ht-304-2666","https://www.somogyi.hu/product/sal-ht-304-felfogatoful-hangszororacshoz-g-tipus-8-db-csomag-ht-304-2666")</f>
        <v>0.0</v>
      </c>
      <c r="E1739" s="7" t="n">
        <f>HYPERLINK("https://www.somogyi.hu/data/img/product_main_images/small/02666.jpg","https://www.somogyi.hu/data/img/product_main_images/small/02666.jpg")</f>
        <v>0.0</v>
      </c>
      <c r="F1739" s="2" t="inlineStr">
        <is>
          <t>5998312729908</t>
        </is>
      </c>
      <c r="G1739" s="4" t="inlineStr">
        <is>
          <t>Válogasson bátran a hangtechnikai kiegészítőink széles kínálatából! A masszív tartást biztosító HT 304 felfogatófül alkalmas a G típusú hangszórórácsokhoz. Válassza minőségi termékeket és rendeljen webáruházunkból.</t>
        </is>
      </c>
    </row>
    <row r="1740">
      <c r="A1740" s="3" t="inlineStr">
        <is>
          <t>HT 305</t>
        </is>
      </c>
      <c r="B1740" s="2" t="inlineStr">
        <is>
          <t>SAL HT 305 felfogatófül hangszórórácshoz, G típus, 8 db/ csomag</t>
        </is>
      </c>
      <c r="C1740" s="1" t="n">
        <v>159.0</v>
      </c>
      <c r="D1740" s="7" t="n">
        <f>HYPERLINK("https://www.somogyi.hu/product/sal-ht-305-felfogatoful-hangszororacshoz-g-tipus-8-db-csomag-ht-305-3314","https://www.somogyi.hu/product/sal-ht-305-felfogatoful-hangszororacshoz-g-tipus-8-db-csomag-ht-305-3314")</f>
        <v>0.0</v>
      </c>
      <c r="E1740" s="7" t="n">
        <f>HYPERLINK("https://www.somogyi.hu/data/img/product_main_images/small/03314.jpg","https://www.somogyi.hu/data/img/product_main_images/small/03314.jpg")</f>
        <v>0.0</v>
      </c>
      <c r="F1740" s="2" t="inlineStr">
        <is>
          <t>5998312736388</t>
        </is>
      </c>
      <c r="G1740" s="4" t="inlineStr">
        <is>
          <t>Válogasson bátran a hangtechnikai kiegészítőink széles kínálatából! A masszív tartást biztosító HT 305 felfogatófül alkalmas a G típusú hangszórórácsokhoz. Válassza minőségi termékeket és rendeljen webáruházunkból.</t>
        </is>
      </c>
    </row>
    <row r="1741">
      <c r="A1741" s="6" t="inlineStr">
        <is>
          <t>Home Kids</t>
        </is>
      </c>
      <c r="B1741" s="6" t="inlineStr">
        <is>
          <t/>
        </is>
      </c>
      <c r="C1741" s="6" t="inlineStr">
        <is>
          <t/>
        </is>
      </c>
      <c r="D1741" s="6" t="inlineStr">
        <is>
          <t/>
        </is>
      </c>
      <c r="E1741" s="6" t="inlineStr">
        <is>
          <t/>
        </is>
      </c>
      <c r="F1741" s="6" t="inlineStr">
        <is>
          <t/>
        </is>
      </c>
      <c r="G1741" s="6" t="inlineStr">
        <is>
          <t/>
        </is>
      </c>
    </row>
    <row r="1742">
      <c r="A1742" s="3" t="inlineStr">
        <is>
          <t>BB AL01</t>
        </is>
      </c>
      <c r="B1742" s="2" t="inlineStr">
        <is>
          <t>Home Kids BB AL01 asztali lámpa, Bogyó és Babóca, fém + műanyag test, vászon búra, E14, max. 25 W,</t>
        </is>
      </c>
      <c r="C1742" s="1" t="n">
        <v>2590.0</v>
      </c>
      <c r="D1742" s="7" t="n">
        <f>HYPERLINK("https://www.somogyi.hu/product/home-kids-bb-al01-asztali-lampa-bogyo-es-baboca-fem-muanyag-test-vaszon-bura-e14-max-25-w-bb-al01-16122","https://www.somogyi.hu/product/home-kids-bb-al01-asztali-lampa-bogyo-es-baboca-fem-muanyag-test-vaszon-bura-e14-max-25-w-bb-al01-16122")</f>
        <v>0.0</v>
      </c>
      <c r="E1742" s="7" t="n">
        <f>HYPERLINK("https://www.somogyi.hu/data/img/product_main_images/small/16122.jpg","https://www.somogyi.hu/data/img/product_main_images/small/16122.jpg")</f>
        <v>0.0</v>
      </c>
      <c r="F1742" s="2" t="inlineStr">
        <is>
          <t>5999084941543</t>
        </is>
      </c>
      <c r="G1742"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743">
      <c r="A1743" s="3" t="inlineStr">
        <is>
          <t>PM 01/BG</t>
        </is>
      </c>
      <c r="B1743" s="2" t="inlineStr">
        <is>
          <t>Home Kids PM 01/BG hangulatvilágítós plüssmackó</t>
        </is>
      </c>
      <c r="C1743" s="1" t="n">
        <v>8290.0</v>
      </c>
      <c r="D1743" s="7" t="n">
        <f>HYPERLINK("https://www.somogyi.hu/product/home-kids-pm-01-bg-hangulatvilagitos-plussmacko-pm-01-bg-15999","https://www.somogyi.hu/product/home-kids-pm-01-bg-hangulatvilagitos-plussmacko-pm-01-bg-15999")</f>
        <v>0.0</v>
      </c>
      <c r="E1743" s="7" t="n">
        <f>HYPERLINK("https://www.somogyi.hu/data/img/product_main_images/small/15999.jpg","https://www.somogyi.hu/data/img/product_main_images/small/15999.jpg")</f>
        <v>0.0</v>
      </c>
      <c r="F1743" s="2" t="inlineStr">
        <is>
          <t>5999084940317</t>
        </is>
      </c>
      <c r="G1743" s="4" t="inlineStr">
        <is>
          <t>A PM 01/BG Plüss mackó 8 db színváltós LED világítással ellátott, így a gyermekeknek alvás közben éjjeli hangulatfényként is üzemelhet. 
A puha plüss mackó a legkisebbek kedvenc játéka és alvótársa lesz. 
Tápellátásához 3 db 1,5 V (AA) elem szükséges, melyet a csomag nem tartalmaz. 
Mérete 45 x 30 x 16 cm. 
A játékban a LED fényforrás nem cserélhető.</t>
        </is>
      </c>
    </row>
    <row r="1744">
      <c r="A1744" s="3" t="inlineStr">
        <is>
          <t>LED ZOO</t>
        </is>
      </c>
      <c r="B1744" s="2" t="inlineStr">
        <is>
          <t>Home Kids LED ZOO állatfigurás kulcstartó, műanyag, hang- és fényhatás, 12 db</t>
        </is>
      </c>
      <c r="C1744" s="1" t="n">
        <v>1090.0</v>
      </c>
      <c r="D1744" s="7" t="n">
        <f>HYPERLINK("https://www.somogyi.hu/product/home-kids-led-zoo-allatfiguras-kulcstarto-muanyag-hang-es-fenyhatas-12-db-led-zoo-15024","https://www.somogyi.hu/product/home-kids-led-zoo-allatfiguras-kulcstarto-muanyag-hang-es-fenyhatas-12-db-led-zoo-15024")</f>
        <v>0.0</v>
      </c>
      <c r="E1744" s="7" t="n">
        <f>HYPERLINK("https://www.somogyi.hu/data/img/product_main_images/small/15024.jpg","https://www.somogyi.hu/data/img/product_main_images/small/15024.jpg")</f>
        <v>0.0</v>
      </c>
      <c r="F1744" s="2" t="inlineStr">
        <is>
          <t>5999084930585</t>
        </is>
      </c>
      <c r="G1744" s="4" t="inlineStr">
        <is>
          <t>Lepje meg gyermekét egy vidám állatfigurás kulcstartóval, amely nem csak igényes kialakítással rendelkezik, hanem hang- és fényeffektet is kibocsát! Válassza a minőségi termékeket és rendeljen webáruházunkból!</t>
        </is>
      </c>
    </row>
    <row r="1745">
      <c r="A1745" s="3" t="inlineStr">
        <is>
          <t>LED ANIMALS</t>
        </is>
      </c>
      <c r="B1745" s="2" t="inlineStr">
        <is>
          <t>Home Kids LED ANIMALS állatfigurás kulcstartó, műanyag, hang- és fényhatás, 12 db</t>
        </is>
      </c>
      <c r="C1745" s="1" t="n">
        <v>1090.0</v>
      </c>
      <c r="D1745" s="7" t="n">
        <f>HYPERLINK("https://www.somogyi.hu/product/home-kids-led-animals-allatfiguras-kulcstarto-muanyag-hang-es-fenyhatas-12-db-led-animals-15998","https://www.somogyi.hu/product/home-kids-led-animals-allatfiguras-kulcstarto-muanyag-hang-es-fenyhatas-12-db-led-animals-15998")</f>
        <v>0.0</v>
      </c>
      <c r="E1745" s="7" t="n">
        <f>HYPERLINK("https://www.somogyi.hu/data/img/product_main_images/small/15998.jpg","https://www.somogyi.hu/data/img/product_main_images/small/15998.jpg")</f>
        <v>0.0</v>
      </c>
      <c r="F1745" s="2" t="inlineStr">
        <is>
          <t>5999084940300</t>
        </is>
      </c>
      <c r="G1745" s="4" t="inlineStr">
        <is>
          <t>Mi az, ami mindig kéznél van, és könnyen mosolyt csalhat az arcára? Ismerje meg a LED ANIMALS állatfigurás kulcstartót!
Ezek a kis figurák minőségi műanyagból készültek, és igényes kialakítással büszkélkedhetnek. Az állatfigurák nem csak aranyosak, de hang- és fényhatással is rendelkeznek, ami még szórakoztatóbbá teszi őket.
A kulcstartó tápellátása egyszerű, mindössze 3 x 1,5 V LR1130 gombelemre van szükség, amelyek a csomag tartalmát képezik, így Ön sem marad le a vicces és praktikus kulcstartók varázslatáról.
Fontos, hogy ezt a terméket kizárólag displayben rendelheti! Válassza a LED ANIMALS kulcstartót, hogy feldobja kulcscsomóját!</t>
        </is>
      </c>
    </row>
    <row r="1746">
      <c r="A1746" s="3" t="inlineStr">
        <is>
          <t>BB ML01</t>
        </is>
      </c>
      <c r="B1746" s="2" t="inlineStr">
        <is>
          <t>Home Kids BB ML01 mennyezeti lámpa, Bogyó és Babóca, fém test, vászon búra, 3 x E14, max. 40 W</t>
        </is>
      </c>
      <c r="C1746" s="1" t="n">
        <v>9890.0</v>
      </c>
      <c r="D1746" s="7" t="n">
        <f>HYPERLINK("https://www.somogyi.hu/product/home-kids-bb-ml01-mennyezeti-lampa-bogyo-es-baboca-fem-test-vaszon-bura-3-x-e14-max-40-w-bb-ml01-16121","https://www.somogyi.hu/product/home-kids-bb-ml01-mennyezeti-lampa-bogyo-es-baboca-fem-test-vaszon-bura-3-x-e14-max-40-w-bb-ml01-16121")</f>
        <v>0.0</v>
      </c>
      <c r="E1746" s="7" t="n">
        <f>HYPERLINK("https://www.somogyi.hu/data/img/product_main_images/small/16121.jpg","https://www.somogyi.hu/data/img/product_main_images/small/16121.jpg")</f>
        <v>0.0</v>
      </c>
      <c r="F1746" s="2" t="inlineStr">
        <is>
          <t>5999084941536</t>
        </is>
      </c>
      <c r="G1746"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747">
      <c r="A1747" s="3" t="inlineStr">
        <is>
          <t>VUK ML01</t>
        </is>
      </c>
      <c r="B1747" s="2" t="inlineStr">
        <is>
          <t>Home Kids VUK ML01 mennyezeti ufólámpa, Vuk, 2 oldalú, E14, max. 13 W</t>
        </is>
      </c>
      <c r="C1747" s="1" t="n">
        <v>1990.0</v>
      </c>
      <c r="D1747" s="7" t="n">
        <f>HYPERLINK("https://www.somogyi.hu/product/home-kids-vuk-ml01-mennyezeti-ufolampa-vuk-2-oldalu-e14-max-13-w-vuk-ml01-16120","https://www.somogyi.hu/product/home-kids-vuk-ml01-mennyezeti-ufolampa-vuk-2-oldalu-e14-max-13-w-vuk-ml01-16120")</f>
        <v>0.0</v>
      </c>
      <c r="E1747" s="7" t="n">
        <f>HYPERLINK("https://www.somogyi.hu/data/img/product_main_images/small/16120.jpg","https://www.somogyi.hu/data/img/product_main_images/small/16120.jpg")</f>
        <v>0.0</v>
      </c>
      <c r="F1747" s="2" t="inlineStr">
        <is>
          <t>5999084941529</t>
        </is>
      </c>
      <c r="G1747" s="4" t="inlineStr">
        <is>
          <t>A VUK ML01 Mennyezeti ufólámpa VUK mintájú díszperemmel ellátott, ezáltal a gyerekszobákat egyedivé teheti. A műanyag díszperem megfordítható, így kedvére kiválaszthatja, hogy melyik színű perem látszódjon. E 14-es foglalattal ellátott, melyet maximum 13 W-os fényforrással lehet használni.</t>
        </is>
      </c>
    </row>
    <row r="1748">
      <c r="A1748" s="3" t="inlineStr">
        <is>
          <t>VUK LC02</t>
        </is>
      </c>
      <c r="B1748" s="2" t="inlineStr">
        <is>
          <t>Home Kids VUK LC02 LED hangulatvilágítás, RGB, érintésvezérelt, USB töltő, ~6-7 óra üzemidő</t>
        </is>
      </c>
      <c r="C1748" s="1" t="n">
        <v>2590.0</v>
      </c>
      <c r="D1748" s="7" t="n">
        <f>HYPERLINK("https://www.somogyi.hu/product/home-kids-vuk-lc02-led-hangulatvilagitas-rgb-erintesvezerelt-usb-tolto-6-7-ora-uzemido-vuk-lc02-16123","https://www.somogyi.hu/product/home-kids-vuk-lc02-led-hangulatvilagitas-rgb-erintesvezerelt-usb-tolto-6-7-ora-uzemido-vuk-lc02-16123")</f>
        <v>0.0</v>
      </c>
      <c r="E1748" s="7" t="n">
        <f>HYPERLINK("https://www.somogyi.hu/data/img/product_main_images/small/16123.jpg","https://www.somogyi.hu/data/img/product_main_images/small/16123.jpg")</f>
        <v>0.0</v>
      </c>
      <c r="F1748" s="2" t="inlineStr">
        <is>
          <t>5999084941550</t>
        </is>
      </c>
      <c r="G1748" s="4" t="inlineStr">
        <is>
          <t>Vuk és barátai a gyerekszobába költöznek! 
Színskálán választhat világítási színt, érintéssel. 
Választható folyamatos egyszínű vagy átmenettel váltakozó világítás mód.</t>
        </is>
      </c>
    </row>
    <row r="1749">
      <c r="A1749" s="6" t="inlineStr">
        <is>
          <t xml:space="preserve">   Lakáskiegészítő / Riasztó, tartozék</t>
        </is>
      </c>
      <c r="B1749" s="6" t="inlineStr">
        <is>
          <t/>
        </is>
      </c>
      <c r="C1749" s="6" t="inlineStr">
        <is>
          <t/>
        </is>
      </c>
      <c r="D1749" s="6" t="inlineStr">
        <is>
          <t/>
        </is>
      </c>
      <c r="E1749" s="6" t="inlineStr">
        <is>
          <t/>
        </is>
      </c>
      <c r="F1749" s="6" t="inlineStr">
        <is>
          <t/>
        </is>
      </c>
      <c r="G1749" s="6" t="inlineStr">
        <is>
          <t/>
        </is>
      </c>
    </row>
    <row r="1750">
      <c r="A1750" s="3" t="inlineStr">
        <is>
          <t>HS 64</t>
        </is>
      </c>
      <c r="B1750" s="2" t="inlineStr">
        <is>
          <t>Mozgásérzékelő</t>
        </is>
      </c>
      <c r="C1750" s="1" t="n">
        <v>1890.0</v>
      </c>
      <c r="D1750" s="7" t="n">
        <f>HYPERLINK("https://www.somogyi.hu/product/mozgaserzekelo-hs-64-6650","https://www.somogyi.hu/product/mozgaserzekelo-hs-64-6650")</f>
        <v>0.0</v>
      </c>
      <c r="E1750" s="7" t="n">
        <f>HYPERLINK("https://www.somogyi.hu/data/img/product_main_images/small/06650.jpg","https://www.somogyi.hu/data/img/product_main_images/small/06650.jpg")</f>
        <v>0.0</v>
      </c>
      <c r="F1750" s="2" t="inlineStr">
        <is>
          <t>5998312756898</t>
        </is>
      </c>
      <c r="G1750" s="4" t="inlineStr">
        <is>
          <t>A HS 64 egy mozgásérzékelő, amely biztonságtechnikai kiegészítőként alkalmazható: HS 60, HS 70, HS 700 és HSM 700 típusú riasztókészülékekhez. A HS 64 mozgásérzékelő hatótávolsága: 12 m. Mérete: 81 x 141 x 50 mm. 15 méter hosszú vezetékkel szállítjuk. Válassza a minőségi termékeket és rendeljen webáruházunkból!</t>
        </is>
      </c>
    </row>
    <row r="1751">
      <c r="A1751" s="3" t="inlineStr">
        <is>
          <t>HS 61</t>
        </is>
      </c>
      <c r="B1751" s="2" t="inlineStr">
        <is>
          <t>Távirányító</t>
        </is>
      </c>
      <c r="C1751" s="1" t="n">
        <v>879.0</v>
      </c>
      <c r="D1751" s="7" t="n">
        <f>HYPERLINK("https://www.somogyi.hu/product/taviranyito-hs-61-6646","https://www.somogyi.hu/product/taviranyito-hs-61-6646")</f>
        <v>0.0</v>
      </c>
      <c r="E1751" s="7" t="n">
        <f>HYPERLINK("https://www.somogyi.hu/data/img/product_main_images/small/06646.jpg","https://www.somogyi.hu/data/img/product_main_images/small/06646.jpg")</f>
        <v>0.0</v>
      </c>
      <c r="F1751" s="2" t="inlineStr">
        <is>
          <t>5998312756850</t>
        </is>
      </c>
      <c r="G1751" s="4" t="inlineStr">
        <is>
          <t>A HS 61 egy távirányító, amely kifejezetten praktikus eszköz a riasztórendszerek kiegészítésére. Alkalmazható: HS 50, HS 60-as készülékekhez.  Mérete: 67 x 45 x 15 mm. Tápellátása: 3 db LR44 (AG13) (1,5 V) elem biztosítja. Válassza a minőségi termékeket és rendeljen webáruházunkból!</t>
        </is>
      </c>
    </row>
    <row r="1752">
      <c r="A1752" s="3" t="inlineStr">
        <is>
          <t>HSS 110</t>
        </is>
      </c>
      <c r="B1752" s="2" t="inlineStr">
        <is>
          <t>Home HSS 110 kültéri riasztó-álsziréna, élethű szirénamegjelenés, IP44 vízálló, folyamatos felvillanó piros led, stabil masszív kivitel, elemes tápellátás</t>
        </is>
      </c>
      <c r="C1752" s="1" t="n">
        <v>8290.0</v>
      </c>
      <c r="D1752" s="7" t="n">
        <f>HYPERLINK("https://www.somogyi.hu/product/home-hss-110-kulteri-riaszto-alszirena-elethu-szirenamegjelenes-ip44-vizallo-folyamatos-felvillano-piros-led-stabil-massziv-kivitel-elemes-tapellatas-hss-110-17781","https://www.somogyi.hu/product/home-hss-110-kulteri-riaszto-alszirena-elethu-szirenamegjelenes-ip44-vizallo-folyamatos-felvillano-piros-led-stabil-massziv-kivitel-elemes-tapellatas-hss-110-17781")</f>
        <v>0.0</v>
      </c>
      <c r="E1752" s="7" t="n">
        <f>HYPERLINK("https://www.somogyi.hu/data/img/product_main_images/small/17781.jpg","https://www.somogyi.hu/data/img/product_main_images/small/17781.jpg")</f>
        <v>0.0</v>
      </c>
      <c r="F1752" s="2" t="inlineStr">
        <is>
          <t>5999084958039</t>
        </is>
      </c>
      <c r="G1752" s="4" t="inlineStr">
        <is>
          <t>HSS 110 messziről is jól látható, karakteres megjelenésű álsziréna folyamatosan felvillanó piros LED fénye távoltartja az idegenek. Kültéren és beltéren egyaránt használható stabil, masszív kivitelű, percek alatt üzembe helyezhető. Sem a működéséhez szükséges 3 darab 1,5 V (AA) elem, sem a felszereléséhez szükséges csavarok nem tartozékok.</t>
        </is>
      </c>
    </row>
    <row r="1753">
      <c r="A1753" s="6" t="inlineStr">
        <is>
          <t xml:space="preserve">   Lakáskiegészítő / Belépésjelző, nyitásjelző, törésjelző</t>
        </is>
      </c>
      <c r="B1753" s="6" t="inlineStr">
        <is>
          <t/>
        </is>
      </c>
      <c r="C1753" s="6" t="inlineStr">
        <is>
          <t/>
        </is>
      </c>
      <c r="D1753" s="6" t="inlineStr">
        <is>
          <t/>
        </is>
      </c>
      <c r="E1753" s="6" t="inlineStr">
        <is>
          <t/>
        </is>
      </c>
      <c r="F1753" s="6" t="inlineStr">
        <is>
          <t/>
        </is>
      </c>
      <c r="G1753" s="6" t="inlineStr">
        <is>
          <t/>
        </is>
      </c>
    </row>
    <row r="1754">
      <c r="A1754" s="3" t="inlineStr">
        <is>
          <t>HS12</t>
        </is>
      </c>
      <c r="B1754" s="2" t="inlineStr">
        <is>
          <t>Home HS12 ajtó és ablakriasztó, távirányítható, 4 in 1 multifunkciós védelem, belépésjelző, nyitvahagyott ajtó figyelmeztetés, szabályozható hangerő</t>
        </is>
      </c>
      <c r="C1754" s="1" t="n">
        <v>6690.0</v>
      </c>
      <c r="D1754" s="7" t="n">
        <f>HYPERLINK("https://www.somogyi.hu/product/home-hs12-ajto-es-ablakriaszto-taviranyithato-4-in-1-multifunkcios-vedelem-belepesjelzo-nyitvahagyott-ajto-figyelmeztetes-szabalyozhato-hangero-hs12-18391","https://www.somogyi.hu/product/home-hs12-ajto-es-ablakriaszto-taviranyithato-4-in-1-multifunkcios-vedelem-belepesjelzo-nyitvahagyott-ajto-figyelmeztetes-szabalyozhato-hangero-hs12-18391")</f>
        <v>0.0</v>
      </c>
      <c r="E1754" s="7" t="n">
        <f>HYPERLINK("https://www.somogyi.hu/data/img/product_main_images/small/18391.jpg","https://www.somogyi.hu/data/img/product_main_images/small/18391.jpg")</f>
        <v>0.0</v>
      </c>
      <c r="F1754" s="2" t="inlineStr">
        <is>
          <t>5999084964092</t>
        </is>
      </c>
      <c r="G1754" s="4" t="inlineStr">
        <is>
          <t>Biztonságban szeretné érezni magát otthonában, még akkor is, ha éppen távol van? A Home HS12 ajtó és ablakriasztó készülékkel ez könnyedén megvalósítható.
A 4in1 multifunkciós védelemmel ellátott eszköz „otthon vagyok” és „elmentem” üzemmódokkal kínál testreszabott biztonságot, így bármikor, bárhol nyugodt lehet. Legyen szó rövid távollétről vagy hosszabb üdülésről, a 30 másodpercig tartó vagy folyamatos riasztás, valamint a ding-dong belépésjelző mód biztosítja, hogy értesítést kapjon minden bejutási kísérletről.
A riasztó figyelmeztet, ha ajtót vagy ablakot nyitva felejt, és azonnali pánikriasztás funkcióval is rendelkezik a gyors segítséghívás érdekében. Minden funkció egy távirányító segítségével könnyedén kezelhető, mely jelzi az elemek merülését is, így mindig biztos lehet a készülék készenlétben állásában. Az öntapadó ragasztónak köszönhetően a riasztó könnyen telepíthető bármely ajtóra vagy ablakra, szerszámok nélkül.
Válassza a Home HS12 ajtó és ablakriasztót, hogy otthona mindig védett legyen, és Ön nyugodtan élvezhesse a mindennapokat vagy az utazás örömeit. Ne hagyja, hogy a biztonsága véletlenekre épüljön!</t>
        </is>
      </c>
    </row>
    <row r="1755">
      <c r="A1755" s="3" t="inlineStr">
        <is>
          <t>HSB 120 R</t>
        </is>
      </c>
      <c r="B1755" s="2" t="inlineStr">
        <is>
          <t>Home HSB 120 R vezeték nélküli belépésjelző távkapcsolóval, 120m hatótáv, IP44 vízálló mozgásérzékelő, vízszintesen 110°-os érzékelés, elemes tápellátás</t>
        </is>
      </c>
      <c r="C1755" s="1" t="n">
        <v>11590.0</v>
      </c>
      <c r="D1755" s="7" t="n">
        <f>HYPERLINK("https://www.somogyi.hu/product/home-hsb-120-r-vezetek-nelkuli-belepesjelzo-tavkapcsoloval-120m-hatotav-ip44-vizallo-mozgaserzekelo-vizszintesen-110-os-erzekeles-elemes-tapellatas-hsb-120-r-17074","https://www.somogyi.hu/product/home-hsb-120-r-vezetek-nelkuli-belepesjelzo-tavkapcsoloval-120m-hatotav-ip44-vizallo-mozgaserzekelo-vizszintesen-110-os-erzekeles-elemes-tapellatas-hsb-120-r-17074")</f>
        <v>0.0</v>
      </c>
      <c r="E1755" s="7" t="n">
        <f>HYPERLINK("https://www.somogyi.hu/data/img/product_main_images/small/17074.jpg","https://www.somogyi.hu/data/img/product_main_images/small/17074.jpg")</f>
        <v>0.0</v>
      </c>
      <c r="F1755" s="2" t="inlineStr">
        <is>
          <t>5999084951061</t>
        </is>
      </c>
      <c r="G1755" s="4" t="inlineStr">
        <is>
          <t>Hogyan biztosíthatja otthona és vállalkozása biztonságát anélkül, hogy folyamatosan jelen kellene lennie? A Home HSB 120 R vezeték nélküli belépésjelző a megoldás! Ez a kifinomult eszköz hang- és fényjelzéssel reagál, amint valaki belép a mozgásérzékelő (PIR) hatókörébe, így Ön azonnal tudomást szerezhet minden behatolásról.
A rendszer kiemelkedő tulajdonságai közé tartozik a vízszintes 110°-os mozgásérzékelési szög és a 5-6 méteres érzékelési távolság. Az eszközök 433,92 MHz frekvencián kommunikálnak egymással, maximális 120 méteres rádió hatótávolság mellett (nyílt terepen), így a mozgásérzékelő és a beltéri egység közötti kommunikáció akadálymentes. A tartozék távkapcsoló (ON – OFF) lehetővé teszi a rendszer egyszerű aktiválását és deaktiválását, még távolról is. A mozgásérzékelő IP44-es védettsége révén kültéren is tökéletesen működik, ellenállva az időjárás viszontagságainak. A telepítés gyors és egyszerű a csomagban található csavarok és tiplik segítségével. A tápellátásért könnyen beszerezhető elemek felelnek: PIR mozgásérzékelő 3 x 1,5 V (AAA) elem, beltéri egység 3 x 1,5 V (C) elem, távkapcsoló 1 x 12 V (23A) elem, az utóbbi tartozékul is szolgál. Az eszközök kompakt méretekkel rendelkeznek: 90x140x45mm és 65x95x33mm.
Ne hagyja, hogy aggodalom árnyékolja be mindennapjait! A Home HSB 120 R vezeték nélküli belépésjelzővel mindig nyugodt lehet, tudva, hogy otthona vagy vállalkozása folyamatosan biztonságban van. Tegyen egy lépést a teljes nyugalom felé, szerezze be még ma ezt a megbízható biztonságtechnikai megoldást!</t>
        </is>
      </c>
    </row>
    <row r="1756">
      <c r="A1756" s="3" t="inlineStr">
        <is>
          <t>HS 21</t>
        </is>
      </c>
      <c r="B1756" s="2" t="inlineStr">
        <is>
          <t>Home HS 21 ajtó-, ablaknyitás érzékelő/riasztó, öntapadós, két riasztási funkció, elemes tápellátás</t>
        </is>
      </c>
      <c r="C1756" s="1" t="n">
        <v>3990.0</v>
      </c>
      <c r="D1756" s="7" t="n">
        <f>HYPERLINK("https://www.somogyi.hu/product/home-hs-21-ajto-ablaknyitas-erzekelo-riaszto-ontapados-ket-riasztasi-funkcio-elemes-tapellatas-hs-21-6474","https://www.somogyi.hu/product/home-hs-21-ajto-ablaknyitas-erzekelo-riaszto-ontapados-ket-riasztasi-funkcio-elemes-tapellatas-hs-21-6474")</f>
        <v>0.0</v>
      </c>
      <c r="E1756" s="7" t="n">
        <f>HYPERLINK("https://www.somogyi.hu/data/img/product_main_images/small/06474.jpg","https://www.somogyi.hu/data/img/product_main_images/small/06474.jpg")</f>
        <v>0.0</v>
      </c>
      <c r="F1756" s="2" t="inlineStr">
        <is>
          <t>5998312755204</t>
        </is>
      </c>
      <c r="G1756" s="4" t="inlineStr">
        <is>
          <t>Érezze magát biztonságban, miközben alszik az otthonában. A HS 21 riasztó az ajtó vagy ablak nyitása esetén jelez. A készülék ding-dong hangjelzést, illetve riasztást ad ki. A 100 dB hangerejű riasztás garantáltan hallható, hogyha megpróbál valaki az otthonába behatolni. Lehetőség van a készülék riasztójának a kikapcsolásra. A biztonságtechnikai eszköz gyorsan és egyszerűen, a hátoldalon lévő öntapadó segítségével rögzíthető. A riasztó tápellátását 3 db AG13 gombelem (1,5 V) szolgáltatja. Válassza a minőségi termékeket és rendeljen webáruházunkból!</t>
        </is>
      </c>
    </row>
    <row r="1757">
      <c r="A1757" s="3" t="inlineStr">
        <is>
          <t>HS 11</t>
        </is>
      </c>
      <c r="B1757" s="2" t="inlineStr">
        <is>
          <t xml:space="preserve">Home HS 11 belépésjelző fali tartóval, 120°-ban állítható, állítható hangerő, hálózati adapter csatlakoztatási lehetőség, elemes tápellátás </t>
        </is>
      </c>
      <c r="C1757" s="1" t="n">
        <v>5790.0</v>
      </c>
      <c r="D1757" s="7" t="n">
        <f>HYPERLINK("https://www.somogyi.hu/product/home-hs-11-belepesjelzo-fali-tartoval-120-ban-allithato-allithato-hangero-halozati-adapter-csatlakoztatasi-lehetoseg-elemes-tapellatas-hs-11-6472","https://www.somogyi.hu/product/home-hs-11-belepesjelzo-fali-tartoval-120-ban-allithato-allithato-hangero-halozati-adapter-csatlakoztatasi-lehetoseg-elemes-tapellatas-hs-11-6472")</f>
        <v>0.0</v>
      </c>
      <c r="E1757" s="7" t="n">
        <f>HYPERLINK("https://www.somogyi.hu/data/img/product_main_images/small/06472.jpg","https://www.somogyi.hu/data/img/product_main_images/small/06472.jpg")</f>
        <v>0.0</v>
      </c>
      <c r="F1757" s="2" t="inlineStr">
        <is>
          <t>5998312755181</t>
        </is>
      </c>
      <c r="G1757" s="4" t="inlineStr">
        <is>
          <t>Fordítson kellő figyelmet otthona biztonságára! A HS 11 a hatósugárba lépés esetén hangjelzést ad ki. A 4 és 5 m közötti hatótávolságú belépésjelző egy fali tartóval rendelkezik a könnyed elhelyezés érdekében.  A készülék hangereje állítható, illetve lehetőség van a kikapcsolására. Csatlakoztatható hálózati adapterhez. Tápellátása: 4 X AA (1,5 V), 6 V DC / 300 mA adapter. Válassza a minőségi termékeket és rendeljen webáruházunkból!</t>
        </is>
      </c>
    </row>
    <row r="1758">
      <c r="A1758" s="3" t="inlineStr">
        <is>
          <t>HS 22/2</t>
        </is>
      </c>
      <c r="B1758" s="2" t="inlineStr">
        <is>
          <t>Ajtó -, ablaknyitás riasztó</t>
        </is>
      </c>
      <c r="C1758" s="1" t="n">
        <v>1850.0</v>
      </c>
      <c r="D1758" s="7" t="n">
        <f>HYPERLINK("https://www.somogyi.hu/product/ajto-ablaknyitas-riaszto-hs-22-2-10281","https://www.somogyi.hu/product/ajto-ablaknyitas-riaszto-hs-22-2-10281")</f>
        <v>0.0</v>
      </c>
      <c r="E1758" s="7" t="n">
        <f>HYPERLINK("https://www.somogyi.hu/data/img/product_main_images/small/10281.jpg","https://www.somogyi.hu/data/img/product_main_images/small/10281.jpg")</f>
        <v>0.0</v>
      </c>
      <c r="F1758" s="2" t="inlineStr">
        <is>
          <t>5998312788905</t>
        </is>
      </c>
      <c r="G1758" s="4" t="inlineStr">
        <is>
          <t>Fordítson kellő figyelmet otthona biztonságára! A HS 22/2 két db-ot tartalmaz a HS22 típusú ajtó-, és ablaknyitás riasztóból.
A termék az ajtó vagy az ablak nyitása esetén riaszt. A készülék által kiadott jelzés hangereje 100 dB, így garantáltan hallható, ha otthonába megpróbál valaki behatolni. 
Lehetőség van a riasztó kikapcsolásra, a biztonságtechnikai eszköz gyorsan és egyszerűen, a hátoldalon lévő öntapadó segítségével rögzíthető. A riasztó tápellátását 3 X AG13 (1,5 V) gombelem szolgáltatja. Válassza a minőségi termékeket és rendeljen webáruházunkból!</t>
        </is>
      </c>
    </row>
    <row r="1759">
      <c r="A1759" s="6" t="inlineStr">
        <is>
          <t xml:space="preserve">   Lakáskiegészítő / Sziréna, zümmer</t>
        </is>
      </c>
      <c r="B1759" s="6" t="inlineStr">
        <is>
          <t/>
        </is>
      </c>
      <c r="C1759" s="6" t="inlineStr">
        <is>
          <t/>
        </is>
      </c>
      <c r="D1759" s="6" t="inlineStr">
        <is>
          <t/>
        </is>
      </c>
      <c r="E1759" s="6" t="inlineStr">
        <is>
          <t/>
        </is>
      </c>
      <c r="F1759" s="6" t="inlineStr">
        <is>
          <t/>
        </is>
      </c>
      <c r="G1759" s="6" t="inlineStr">
        <is>
          <t/>
        </is>
      </c>
    </row>
    <row r="1760">
      <c r="A1760" s="3" t="inlineStr">
        <is>
          <t>SZ 3-1</t>
        </is>
      </c>
      <c r="B1760" s="2" t="inlineStr">
        <is>
          <t>Home SZ 3-1 egy szólamú sziréna, folyamatos hangjelzés, dóm hangszóró, 20 W-os teljesítmény, 108 dB-es hangerő</t>
        </is>
      </c>
      <c r="C1760" s="1" t="n">
        <v>4390.0</v>
      </c>
      <c r="D1760" s="7" t="n">
        <f>HYPERLINK("https://www.somogyi.hu/product/home-sz-3-1-egy-szolamu-szirena-folyamatos-hangjelzes-dom-hangszoro-20-w-os-teljesitmeny-108-db-es-hangero-sz-3-1-1902","https://www.somogyi.hu/product/home-sz-3-1-egy-szolamu-szirena-folyamatos-hangjelzes-dom-hangszoro-20-w-os-teljesitmeny-108-db-es-hangero-sz-3-1-1902")</f>
        <v>0.0</v>
      </c>
      <c r="E1760" s="7" t="n">
        <f>HYPERLINK("https://www.somogyi.hu/data/img/product_main_images/small/01902.jpg","https://www.somogyi.hu/data/img/product_main_images/small/01902.jpg")</f>
        <v>0.0</v>
      </c>
      <c r="F1760" s="2" t="inlineStr">
        <is>
          <t>5998312704592</t>
        </is>
      </c>
      <c r="G1760" s="4" t="inlineStr">
        <is>
          <t>1 szólamú 108 dB hangerejű sziréna, amely dóm hangszóróval rendelkezik. Teljesítménye: 20 W. Magassága talppal: 112 mm. Az SZ 3-1 típusú sziréna a minőségi kialakítása révén könnyen felszerelhető, illetve kiváló hangzást biztosít. Válassza a minőségi termékeket és rendeljen webáruházunkból!</t>
        </is>
      </c>
    </row>
    <row r="1761">
      <c r="A1761" s="3" t="inlineStr">
        <is>
          <t>Z 2</t>
        </is>
      </c>
      <c r="B1761" s="2" t="inlineStr">
        <is>
          <t>Home Z 2 zümmer, folyamatos hangjelzés, piezo hangszóró, 85 dB-es hangerő, feszültség: 1,5-12V</t>
        </is>
      </c>
      <c r="C1761" s="1" t="n">
        <v>999.0</v>
      </c>
      <c r="D1761" s="7" t="n">
        <f>HYPERLINK("https://www.somogyi.hu/product/home-z-2-zummer-folyamatos-hangjelzes-piezo-hangszoro-85-db-es-hangero-feszultseg-1-5-12v-z-2-2033","https://www.somogyi.hu/product/home-z-2-zummer-folyamatos-hangjelzes-piezo-hangszoro-85-db-es-hangero-feszultseg-1-5-12v-z-2-2033")</f>
        <v>0.0</v>
      </c>
      <c r="E1761" s="7" t="n">
        <f>HYPERLINK("https://www.somogyi.hu/data/img/product_main_images/small/02033.jpg","https://www.somogyi.hu/data/img/product_main_images/small/02033.jpg")</f>
        <v>0.0</v>
      </c>
      <c r="F1761" s="2" t="inlineStr">
        <is>
          <t>5998312721384</t>
        </is>
      </c>
      <c r="G1761" s="4" t="inlineStr">
        <is>
          <t>A zümmer kiváló hangzású piezo hangszóróval rendelkezik. A készülék hangereje: 85 dB. Válassza a minőségi termékeket és rendeljen webáruházunkból!</t>
        </is>
      </c>
    </row>
    <row r="1762">
      <c r="A1762" s="3" t="inlineStr">
        <is>
          <t>SZ 1-1</t>
        </is>
      </c>
      <c r="B1762" s="2" t="inlineStr">
        <is>
          <t>Home SZ 1-1 egy szólamú sziréna, folyamatos hangjelzés, piezo hangszóró, 20 W-os teljesítmény, 100 dB-es hangerő</t>
        </is>
      </c>
      <c r="C1762" s="1" t="n">
        <v>2590.0</v>
      </c>
      <c r="D1762" s="7" t="n">
        <f>HYPERLINK("https://www.somogyi.hu/product/home-sz-1-1-egy-szolamu-szirena-folyamatos-hangjelzes-piezo-hangszoro-20-w-os-teljesitmeny-100-db-es-hangero-sz-1-1-1901","https://www.somogyi.hu/product/home-sz-1-1-egy-szolamu-szirena-folyamatos-hangjelzes-piezo-hangszoro-20-w-os-teljesitmeny-100-db-es-hangero-sz-1-1-1901")</f>
        <v>0.0</v>
      </c>
      <c r="E1762" s="7" t="n">
        <f>HYPERLINK("https://www.somogyi.hu/data/img/product_main_images/small/01901.jpg","https://www.somogyi.hu/data/img/product_main_images/small/01901.jpg")</f>
        <v>0.0</v>
      </c>
      <c r="F1762" s="2" t="inlineStr">
        <is>
          <t>5998312704585</t>
        </is>
      </c>
      <c r="G1762" s="4" t="inlineStr">
        <is>
          <t>1 szólamú 100 dB hangerejű sziréna, amely piezo hangszóróval rendelkezik. Magassága talpal: 57 mm. Az SZ 1-1 típusú sziréna a minőségi kialakítása révén könnyen felszerelhető, illetve kiváló hangzást biztosít. Válassza a minőségi termékeket és rendeljen webáruházunkból!</t>
        </is>
      </c>
    </row>
    <row r="1763">
      <c r="A1763" s="6" t="inlineStr">
        <is>
          <t xml:space="preserve">   Lakáskiegészítő / Álkamera</t>
        </is>
      </c>
      <c r="B1763" s="6" t="inlineStr">
        <is>
          <t/>
        </is>
      </c>
      <c r="C1763" s="6" t="inlineStr">
        <is>
          <t/>
        </is>
      </c>
      <c r="D1763" s="6" t="inlineStr">
        <is>
          <t/>
        </is>
      </c>
      <c r="E1763" s="6" t="inlineStr">
        <is>
          <t/>
        </is>
      </c>
      <c r="F1763" s="6" t="inlineStr">
        <is>
          <t/>
        </is>
      </c>
      <c r="G1763" s="6" t="inlineStr">
        <is>
          <t/>
        </is>
      </c>
    </row>
    <row r="1764">
      <c r="A1764" s="3" t="inlineStr">
        <is>
          <t>HSK 110</t>
        </is>
      </c>
      <c r="B1764" s="2" t="inlineStr">
        <is>
          <t>Home HSK 110 kültéri álkamera, valódi kameraforma, dönthető-elforgatható rögzítés, piros villogó LED, kültéri/beltéri használat, elemes tápellátás</t>
        </is>
      </c>
      <c r="C1764" s="1" t="n">
        <v>4090.0</v>
      </c>
      <c r="D1764" s="7" t="n">
        <f>HYPERLINK("https://www.somogyi.hu/product/home-hsk-110-kulteri-alkamera-valodi-kameraforma-dontheto-elforgathato-rogzites-piros-villogo-led-kulteri-belteri-hasznalat-elemes-tapellatas-hsk-110-10279","https://www.somogyi.hu/product/home-hsk-110-kulteri-alkamera-valodi-kameraforma-dontheto-elforgathato-rogzites-piros-villogo-led-kulteri-belteri-hasznalat-elemes-tapellatas-hsk-110-10279")</f>
        <v>0.0</v>
      </c>
      <c r="E1764" s="7" t="n">
        <f>HYPERLINK("https://www.somogyi.hu/data/img/product_main_images/small/10279.jpg","https://www.somogyi.hu/data/img/product_main_images/small/10279.jpg")</f>
        <v>0.0</v>
      </c>
      <c r="F1764" s="2" t="inlineStr">
        <is>
          <t>5998312788882</t>
        </is>
      </c>
      <c r="G1764" s="4" t="inlineStr">
        <is>
          <t>Milyen módon óvhatja meg otthonát vagy vállalkozását anélkül, hogy mélyen a zsebébe kellene nyúlnia? A Home HSK 110 kültéri álkamera a tökéletes megoldás azok számára, akik hatékony, mégis költségkímélő biztonsági megoldást keresnek. Ez az eszköz valódi kamera formájával, valamint folyamatosan villogó piros LED-jével komoly visszatartó erőt képviselhet.
Kültéri és beltéri használatra egyaránt alkalmas, így rugalmasságot biztosít a felhasználóknak attól függően, hogy hol van szükség az elrettentésre. Dönthető és elforgatható rögzítése révén könnyedén állítható, hogy a legkritikusabb területeket “figyelje”. A folyamatosan villogó piros LED még inkább hitelessé teszi, hogy egy valódi megfigyelő rendszerrel van dolgunk, ezzel elriasztva az illetéktelen behatolókat. A tápellátást 2 x 1,5 V (AA) elem biztosítja, melyek nem részei a csomagnak, így érdemes azokat előre beszerezni. A termék méretei 230x170x85mm, ami észrevehető jelenlétet garantál.
Felejtse el a bonyolult és költséges biztonsági rendszereket! A Home HSK 110 kültéri álkamerával hatékony nyugalmat biztosíthat magának, mindezt kedvező áron. Ne kockáztassa meg ingatlanának biztonságát; válassza ezt az egyszerű, de hatásos megoldást még ma!</t>
        </is>
      </c>
    </row>
    <row r="1765">
      <c r="A1765" s="3" t="inlineStr">
        <is>
          <t>HSK 140</t>
        </is>
      </c>
      <c r="B1765" s="2" t="inlineStr">
        <is>
          <t>Home HSK 140 kültéri álkamera lámpával, élethű megjelenés, piros fény, dupla LED lámpa mozgás- és fényérzékelővel, elemes tápellátás</t>
        </is>
      </c>
      <c r="C1765" s="1" t="n">
        <v>6090.0</v>
      </c>
      <c r="D1765" s="7" t="n">
        <f>HYPERLINK("https://www.somogyi.hu/product/home-hsk-140-kulteri-alkamera-lampaval-elethu-megjelenes-piros-feny-dupla-led-lampa-mozgas-es-fenyerzekelovel-elemes-tapellatas-hsk-140-17854","https://www.somogyi.hu/product/home-hsk-140-kulteri-alkamera-lampaval-elethu-megjelenes-piros-feny-dupla-led-lampa-mozgas-es-fenyerzekelovel-elemes-tapellatas-hsk-140-17854")</f>
        <v>0.0</v>
      </c>
      <c r="E1765" s="7" t="n">
        <f>HYPERLINK("https://www.somogyi.hu/data/img/product_main_images/small/17854.jpg","https://www.somogyi.hu/data/img/product_main_images/small/17854.jpg")</f>
        <v>0.0</v>
      </c>
      <c r="F1765" s="2" t="inlineStr">
        <is>
          <t>5999084958763</t>
        </is>
      </c>
      <c r="G1765" s="4" t="inlineStr">
        <is>
          <t>HSK 140 fény és mozgásérzékelő álkamera bel és kültéren egyaránt használható. 
Piros LED fénye folyamatosan felvillan, míg erős fehér fényű dupla LED lámpája sötétben, mozgásra kapcsol be. 
Nem csupán az idegenek riasztja el, hanem segíti a közlekedést, megtalálni például a kulcslyukat. Sokoldalúan forgatható és állítható be rajta a kívánt pozíció.
Tökéletes választás kapura, közlekedési útvonalra, ajtóra vagy parkoló autóra irányítva felszerelni, melyet a tartozékban található csavarokkal könnyen elvégezhet. 
A kamera tápellátásához 3 darab 1,5 V (AAA) elem szükséges, mely nem része a csomagnak.</t>
        </is>
      </c>
    </row>
    <row r="1766">
      <c r="A1766" s="3" t="inlineStr">
        <is>
          <t>HSK 130</t>
        </is>
      </c>
      <c r="B1766" s="2" t="inlineStr">
        <is>
          <t>Home HSK 130 kültéri napelemes álkamera, élethű megjelenés, IP44 vízálló, dönthető és forgatható, folyamatos villogó piros LED, akkumulátoros tápellátás</t>
        </is>
      </c>
      <c r="C1766" s="1" t="n">
        <v>8290.0</v>
      </c>
      <c r="D1766" s="7" t="n">
        <f>HYPERLINK("https://www.somogyi.hu/product/home-hsk-130-kulteri-napelemes-alkamera-elethu-megjelenes-ip44-vizallo-dontheto-es-forgathato-folyamatos-villogo-piros-led-akkumulatoros-tapellatas-hsk-130-17586","https://www.somogyi.hu/product/home-hsk-130-kulteri-napelemes-alkamera-elethu-megjelenes-ip44-vizallo-dontheto-es-forgathato-folyamatos-villogo-piros-led-akkumulatoros-tapellatas-hsk-130-17586")</f>
        <v>0.0</v>
      </c>
      <c r="E1766" s="7" t="n">
        <f>HYPERLINK("https://www.somogyi.hu/data/img/product_main_images/small/17586.jpg","https://www.somogyi.hu/data/img/product_main_images/small/17586.jpg")</f>
        <v>0.0</v>
      </c>
      <c r="F1766" s="2" t="inlineStr">
        <is>
          <t>5999084956080</t>
        </is>
      </c>
      <c r="G1766" s="4" t="inlineStr">
        <is>
          <t xml:space="preserve"> • kültéri alkalmazhatóság: igen 
 • kamera aktivitás: folyamatosan villogó piros LED 
 • alapanyag: műanyag 
 • tápellátás: 2xAA (1,5V) tölthető akkumulátor, nem tartozék 
 • méret: https://www.somogyi.hu/data/product_documents/17586_1_03_04.pdf 
 • egyéb: A NAPELEMES TÖLTÉSNEK KÖSZÖNHETŐEN NEM IGÉNYEL GYAKORI ELEMCSERÉT, IDEÁLIS MAGASRA SZERELÉSHEZ* • élethű biztonsági kamera megjelenés • víz ellen védett (IP44) • stabil, masszív kivitel • dönthető és körbe forgatható kamera • többféle módon felszerelhető vízszintes és függőleges felületekre • percek alatt üzembe helyezhető • tartozék: csavar készlet, szerelvények • *a napelem a külön beszerzendő 2db AA (1,5V) akkumulátort tölti</t>
        </is>
      </c>
    </row>
    <row r="1767">
      <c r="A1767" s="3" t="inlineStr">
        <is>
          <t>HSK 120</t>
        </is>
      </c>
      <c r="B1767" s="2" t="inlineStr">
        <is>
          <t>Home HSK 120 kültéri álkamera, valódi dómkameraforma, villogó piros LED, egyszerű ki/be kapcsolás, gyors és könnyű felszerelés, elemes tápellátás</t>
        </is>
      </c>
      <c r="C1767" s="1" t="n">
        <v>1750.0</v>
      </c>
      <c r="D1767" s="7" t="n">
        <f>HYPERLINK("https://www.somogyi.hu/product/home-hsk-120-kulteri-alkamera-valodi-domkameraforma-villogo-piros-led-egyszeru-ki-be-kapcsolas-gyors-es-konnyu-felszereles-elemes-tapellatas-hsk-120-10280","https://www.somogyi.hu/product/home-hsk-120-kulteri-alkamera-valodi-domkameraforma-villogo-piros-led-egyszeru-ki-be-kapcsolas-gyors-es-konnyu-felszereles-elemes-tapellatas-hsk-120-10280")</f>
        <v>0.0</v>
      </c>
      <c r="E1767" s="7" t="n">
        <f>HYPERLINK("https://www.somogyi.hu/data/img/product_main_images/small/10280.jpg","https://www.somogyi.hu/data/img/product_main_images/small/10280.jpg")</f>
        <v>0.0</v>
      </c>
      <c r="F1767" s="2" t="inlineStr">
        <is>
          <t>5998312788899</t>
        </is>
      </c>
      <c r="G1767" s="4" t="inlineStr">
        <is>
          <t>Fordítson kellő figyelmet otthona védelmére! A HSK 120 állkamera hatékony, egyben frappáns védelmet biztosít a „nem kívánt látogatók” ellen. 
Előnye, hogy valódi dómkamera formával rendelkezik, továbbá villogó vörös LED-del van ellátva. Gyorsan és egyszerűen felszerelhető. Az álkamera tápellátása: 2 X AA (1,5 V). Válassza a minőségi termékeket és rendeljen webáruházunkból.</t>
        </is>
      </c>
    </row>
    <row r="1768">
      <c r="A1768" s="6" t="inlineStr">
        <is>
          <t xml:space="preserve">   Lakáskiegészítő / Tanítható távirányító</t>
        </is>
      </c>
      <c r="B1768" s="6" t="inlineStr">
        <is>
          <t/>
        </is>
      </c>
      <c r="C1768" s="6" t="inlineStr">
        <is>
          <t/>
        </is>
      </c>
      <c r="D1768" s="6" t="inlineStr">
        <is>
          <t/>
        </is>
      </c>
      <c r="E1768" s="6" t="inlineStr">
        <is>
          <t/>
        </is>
      </c>
      <c r="F1768" s="6" t="inlineStr">
        <is>
          <t/>
        </is>
      </c>
      <c r="G1768" s="6" t="inlineStr">
        <is>
          <t/>
        </is>
      </c>
    </row>
    <row r="1769">
      <c r="A1769" s="3" t="inlineStr">
        <is>
          <t>RC-OPEN4/P</t>
        </is>
      </c>
      <c r="B1769" s="2" t="inlineStr">
        <is>
          <t>Home RC-OPEN4/P univerzális kapunyító, fixkódos, műanyag ház, kapuk vezérlésére, 433 MHz-es rendszerekhez, 4 programozható gomb</t>
        </is>
      </c>
      <c r="C1769" s="1" t="n">
        <v>3090.0</v>
      </c>
      <c r="D1769" s="7" t="n">
        <f>HYPERLINK("https://www.somogyi.hu/product/home-rc-open4-p-univerzalis-kapunyito-fixkodos-muanyag-haz-kapuk-vezerlesere-433-mhz-es-rendszerekhez-4-programozhato-gomb-rc-open4-p-13122","https://www.somogyi.hu/product/home-rc-open4-p-univerzalis-kapunyito-fixkodos-muanyag-haz-kapuk-vezerlesere-433-mhz-es-rendszerekhez-4-programozhato-gomb-rc-open4-p-13122")</f>
        <v>0.0</v>
      </c>
      <c r="E1769" s="7" t="n">
        <f>HYPERLINK("https://www.somogyi.hu/data/img/product_main_images/small/13122.jpg","https://www.somogyi.hu/data/img/product_main_images/small/13122.jpg")</f>
        <v>0.0</v>
      </c>
      <c r="F1769" s="2" t="inlineStr">
        <is>
          <t>5999084913038</t>
        </is>
      </c>
      <c r="G1769" s="4" t="inlineStr">
        <is>
          <t>Könnyítse meg az otthoni elektronikai készülékek (ház garázs- és elektromos kapuk) használatát és vásároljon mielőbb egy fixkódos, univerzális távirányítót. Használható 433 MHz-es rendszerekhez, valamint 4 programozható gombbal van ellátva. Tápellátása: LR 27A (12 V). Válassza minőségi termékeket és rendeljen webáruházunkból.</t>
        </is>
      </c>
    </row>
    <row r="1770">
      <c r="A1770" s="6" t="inlineStr">
        <is>
          <t xml:space="preserve">   Lakáskiegészítő / Video-kaputelefon</t>
        </is>
      </c>
      <c r="B1770" s="6" t="inlineStr">
        <is>
          <t/>
        </is>
      </c>
      <c r="C1770" s="6" t="inlineStr">
        <is>
          <t/>
        </is>
      </c>
      <c r="D1770" s="6" t="inlineStr">
        <is>
          <t/>
        </is>
      </c>
      <c r="E1770" s="6" t="inlineStr">
        <is>
          <t/>
        </is>
      </c>
      <c r="F1770" s="6" t="inlineStr">
        <is>
          <t/>
        </is>
      </c>
      <c r="G1770" s="6" t="inlineStr">
        <is>
          <t/>
        </is>
      </c>
    </row>
    <row r="1771">
      <c r="A1771" s="3" t="inlineStr">
        <is>
          <t>DPV WIFI 100</t>
        </is>
      </c>
      <c r="B1771" s="2" t="inlineStr">
        <is>
          <t>Home DPV WIFI 100 5 az 1-ben smart videó kaputelefon szett, vezeték vélküli, Tuya platform, megfigyelő kamera, riasztó funkció, IP54 védettség</t>
        </is>
      </c>
      <c r="C1771" s="1" t="n">
        <v>45290.0</v>
      </c>
      <c r="D1771" s="7" t="n">
        <f>HYPERLINK("https://www.somogyi.hu/product/home-dpv-wifi-100-5-az-1-ben-smart-video-kaputelefon-szett-vezetek-velkuli-tuya-platform-megfigyelo-kamera-riaszto-funkcio-ip54-vedettseg-dpv-wifi-100-17830","https://www.somogyi.hu/product/home-dpv-wifi-100-5-az-1-ben-smart-video-kaputelefon-szett-vezetek-velkuli-tuya-platform-megfigyelo-kamera-riaszto-funkcio-ip54-vedettseg-dpv-wifi-100-17830")</f>
        <v>0.0</v>
      </c>
      <c r="E1771" s="7" t="n">
        <f>HYPERLINK("https://www.somogyi.hu/data/img/product_main_images/small/17830.jpg","https://www.somogyi.hu/data/img/product_main_images/small/17830.jpg")</f>
        <v>0.0</v>
      </c>
      <c r="F1771" s="2" t="inlineStr">
        <is>
          <t>5999084958527</t>
        </is>
      </c>
      <c r="G1771" s="4" t="inlineStr">
        <is>
          <t>DPV WIFI 100 smart videó kaputelefon ideális hagyományos kaputelefon-rendszerek és ajtócsengők kiváltására. A készülék több funkciót tölt be egyszerre. Video kaputelefonként, csendes riasztóként, megfigyelő kameraként, vezeték nélküli csengőként és mozgásérzékelős éjjeli lámpaként is üzemel. A vezeték nélküli csengő fényjelzéssel és 8 választható dallammal jelez. A termék kültéri egysége alkalmas internet elérésére (WiFi), így az Android vagy iOS operációs rendszerű, internet eléréssel rendelkező mobilkészülékekre telepítendő TUYA alkalmazás segítségével távolról is elérhető és vezérelhető. Hallja, ha becsengetnek, láthatja a látogatót és fénykép vagy videofelvételt készíthet róla. A csendes riasztó funkció jelzi az ajtaja előtti mozgást akkor is, ha nem csengetnek be, sőt automatikusan fotót is készít a mozgás hatására és a csengőgomb megnyomására. A széles látószögű kamera sötétben is kiválóan működik. Az éjszakai megvilágítást rejtett infravörös LED-ek támogatják és a kamera ilyenkor automatikusan átkapcsol az érzékenyebb fekete-fehér módra. Figyelmeztet a merülő akkumulátorra és a megszakadó internetkapcsolatra. A távelérés jogosultsága megosztható a családtagok között. DPV WIFI 100 smart videó kaputelefon 2 féle tápellátással üzemeltethető, beépített, cserélhető akkumulátorral vagy hálózati adapterrel, ami nem tartozéka a csomagolásnak.</t>
        </is>
      </c>
    </row>
    <row r="1772">
      <c r="A1772" s="3" t="inlineStr">
        <is>
          <t>DPV 270K</t>
        </is>
      </c>
      <c r="B1772" s="2" t="inlineStr">
        <is>
          <t>Home DPV 270K kültéri biztonsági kamera a Home DPV 270 szett bővítéséhez, IP44 védettségű, éjszakai kameramód, fotó és videó felvételi funkciókkal</t>
        </is>
      </c>
      <c r="C1772" s="1" t="n">
        <v>23990.0</v>
      </c>
      <c r="D1772" s="7" t="n">
        <f>HYPERLINK("https://www.somogyi.hu/product/home-dpv-270k-kulteri-biztonsagi-kamera-a-home-dpv-270-szett-bovitesehez-ip44-vedettsegu-ejszakai-kameramod-foto-es-video-felveteli-funkciokkal-dpv-270k-17627","https://www.somogyi.hu/product/home-dpv-270k-kulteri-biztonsagi-kamera-a-home-dpv-270-szett-bovitesehez-ip44-vedettsegu-ejszakai-kameramod-foto-es-video-felveteli-funkciokkal-dpv-270k-17627")</f>
        <v>0.0</v>
      </c>
      <c r="E1772" s="7" t="n">
        <f>HYPERLINK("https://www.somogyi.hu/data/img/product_main_images/small/17627.jpg","https://www.somogyi.hu/data/img/product_main_images/small/17627.jpg")</f>
        <v>0.0</v>
      </c>
      <c r="F1772" s="2" t="inlineStr">
        <is>
          <t>5999084956493</t>
        </is>
      </c>
      <c r="G1772" s="4" t="inlineStr">
        <is>
          <t xml:space="preserve"> • kültéri egység felszerelhetősége: falon kívüli (IP44) 
 • éjjellátó-mód: éjszakai kameramód rejtett infravörös LED-ekkel 
 • fénykép készítése becsengetéskor: fényképet vagy videofelvételt készít a látogatóról • automatikus és manuális felvételi lehetőség 
 • vezetékezés: 4 eres 
 • beállítható hangerő: szabályozható mikrofonérzékenység és beszédhangerő 
 • elektromos zárkimenet: zárnyitás külső elektromos zár alkalmazása esetén (opció) 
 • bővíthetőség: DPV 27 és DPV 270 szett bővíthetősége: 2 db kamerás kültéri egység és 3 db beltéri egység monitorral 
 • tartozék: esővédő keret, csatlakozókábel (~10 m), szerelvények 
 • tápellátás: a DPV 270 monitorjából ( 12 V) 
 • méret: ~80 x 160 x 30 mm 
 • egyéb: világító csengőgomb és alumínium előlap</t>
        </is>
      </c>
    </row>
    <row r="1773">
      <c r="A1773" s="3" t="inlineStr">
        <is>
          <t>DPV SMART</t>
        </is>
      </c>
      <c r="B1773" s="2" t="inlineStr">
        <is>
          <t>Home DPV SMART video kaputelefon, 7" érintőképernyő, IP65, AHD kamera, mozgásérzékelő, RFID, bővíthető, InterCom, Smart Life, Tuya Smart</t>
        </is>
      </c>
      <c r="C1773" s="1" t="n">
        <v>73190.0</v>
      </c>
      <c r="D1773" s="7" t="n">
        <f>HYPERLINK("https://www.somogyi.hu/product/home-dpv-smart-video-kaputelefon-7-erintokepernyo-ip65-ahd-kamera-mozgaserzekelo-rfid-bovitheto-intercom-smart-life-tuya-smart-dpv-smart-18308","https://www.somogyi.hu/product/home-dpv-smart-video-kaputelefon-7-erintokepernyo-ip65-ahd-kamera-mozgaserzekelo-rfid-bovitheto-intercom-smart-life-tuya-smart-dpv-smart-18308")</f>
        <v>0.0</v>
      </c>
      <c r="E1773" s="7" t="n">
        <f>HYPERLINK("https://www.somogyi.hu/data/img/product_main_images/small/18308.jpg","https://www.somogyi.hu/data/img/product_main_images/small/18308.jpg")</f>
        <v>0.0</v>
      </c>
      <c r="F1773" s="2" t="inlineStr">
        <is>
          <t>5999084963309</t>
        </is>
      </c>
      <c r="G1773" s="4" t="inlineStr">
        <is>
          <t>Ön is egy olyan eszközt keres, amely egyszerre szolgál biztonságos kaputelefonként, riasztórendszerként, és lehetővé teszi az otthona távoli megfigyelését is? A Home DPV SMART video kaputelefon rendszerével nem csak a látogatóit fogadhatja magabiztosan, de otthona biztonságát is növelheti.
A 7 hüvelykes, extra lapos monitor érintőképernyővel és a masszív, alumínium kültéri kamerás egység (IP65) biztosítja a kiemelkedő képminőséget és tartósságot. A rendszer továbbfejlesztett AHD kamerával rendelkezik, mely jobb képminőséget nyújt, valamint mozgásérzékelési funkcióval, ami lehetővé teszi, hogy a látogatók érkezésekor értesítést kapjon.
A rendszer bővíthető további kamerás kültéri egységekkel, monitorokkal, megfigyelő kamerákkal, valamint nyitás- vagy mozgásérzékelőkkel, így teljesen testreszabható az Ön igényeihez. Az RFID közelítő kulcsoknak köszönhetően pedig gyorsan és kényelmesen nyithatja ki az ajtót. Az InterCom funkcióval a beltéri egységek közötti kommunikáció is megoldott, így a házon belüli kommunikáció sem jelent problémát.
A DPV SMART video kaputelefon mozgás érzékelésekor képes üzenetet küldeni, valamint automatikus és manuális fotó-, videókészítésre is képes, így mindig nyomon követheti, mi történik otthonában. Az internetes távoli elérés révén okostelefonról is irányíthatja a rendszert, akár távolról is, a Smart Life vagy a Tuya Smart applikációk segítségével, melyek Android és iOS mobiltelefonokkal is kompatibilisek.
Ragaszkodik otthona maximális biztonságához? Válassza a Home DPV SMART video kaputelefon rendszert, amely modern technológiával és felhasználóbarát funkciókkal védi otthonát és szeretteit.</t>
        </is>
      </c>
    </row>
    <row r="1774">
      <c r="A1774" s="3" t="inlineStr">
        <is>
          <t>DPV 26</t>
        </is>
      </c>
      <c r="B1774" s="2" t="inlineStr">
        <is>
          <t>Home DPV 26 ultra vékony 7 colos videó-kaputelefon szett, éjszakai kameramóddal, 16 féle csengetési dallammal, kitekintő funkcióval</t>
        </is>
      </c>
      <c r="C1774" s="1" t="n">
        <v>49390.0</v>
      </c>
      <c r="D1774" s="7" t="n">
        <f>HYPERLINK("https://www.somogyi.hu/product/home-dpv-26-ultra-vekony-7-colos-video-kaputelefon-szett-ejszakai-kameramoddal-16-fele-csengetesi-dallammal-kitekinto-funkcioval-dpv-26-16382","https://www.somogyi.hu/product/home-dpv-26-ultra-vekony-7-colos-video-kaputelefon-szett-ejszakai-kameramoddal-16-fele-csengetesi-dallammal-kitekinto-funkcioval-dpv-26-16382")</f>
        <v>0.0</v>
      </c>
      <c r="E1774" s="7" t="n">
        <f>HYPERLINK("https://www.somogyi.hu/data/img/product_main_images/small/16382.jpg","https://www.somogyi.hu/data/img/product_main_images/small/16382.jpg")</f>
        <v>0.0</v>
      </c>
      <c r="F1774" s="2" t="inlineStr">
        <is>
          <t>5999084944148</t>
        </is>
      </c>
      <c r="G1774" s="4" t="inlineStr">
        <is>
          <t>A DPV 26 Videó kaputelefon modern és letisztult kialakításának köszönhetően minden lakásban jól mutat. A külső egység kamerával ellátott, melynek képe a belső 7” LCD extra lapos monitoron látható.
A mikrofon érzékenység és a beszéd hangerő szabályozható, valamint a monitor fényereje, képélessége is állítható. Sötétben is jól funkcionál a beépített infravörös LED-ek által, így éjszakai kameramód is kiválasztható. A 16 féle csengési dallam közül tudja kiválasztani az Önnek legjobban tetszőt. 
A csomag tartalmazza a külső egységet, a beltéri LCD monitort, esővédő keretet, 9 m csatlakozókábelt, fali fém tartókeretet, hálózati adaptert és a csavarokat.</t>
        </is>
      </c>
    </row>
    <row r="1775">
      <c r="A1775" s="3" t="inlineStr">
        <is>
          <t>DPV 270RFID</t>
        </is>
      </c>
      <c r="B1775" s="2" t="inlineStr">
        <is>
          <t>Home DPV 270RFID interaktív közelítő kulcsszett DPV 270 videó-kaputelefonhoz, 7 darabos szett, 125 kHz RFID, egyszerű párosítás és programozás</t>
        </is>
      </c>
      <c r="C1775" s="1" t="n">
        <v>4890.0</v>
      </c>
      <c r="D1775" s="7" t="n">
        <f>HYPERLINK("https://www.somogyi.hu/product/home-dpv-270rfid-interaktiv-kozelito-kulcsszett-dpv-270-video-kaputelefonhoz-7-darabos-szett-125-khz-rfid-egyszeru-parositas-es-programozas-dpv-270rfid-17673","https://www.somogyi.hu/product/home-dpv-270rfid-interaktiv-kozelito-kulcsszett-dpv-270-video-kaputelefonhoz-7-darabos-szett-125-khz-rfid-egyszeru-parositas-es-programozas-dpv-270rfid-17673")</f>
        <v>0.0</v>
      </c>
      <c r="E1775" s="7" t="n">
        <f>HYPERLINK("https://www.somogyi.hu/data/img/product_main_images/small/17673.jpg","https://www.somogyi.hu/data/img/product_main_images/small/17673.jpg")</f>
        <v>0.0</v>
      </c>
      <c r="F1775" s="2" t="inlineStr">
        <is>
          <t>5999084956950</t>
        </is>
      </c>
      <c r="G1775" s="4" t="inlineStr">
        <is>
          <t xml:space="preserve"> • egyéb: 5 db kék felhasználói (USER) kulcs a nyitáshoz • 1 db piros kulcs (CLEAN) az összes kártya egyszerre történő törléséhez a rendszerből • 1 db sárga kulcs (ADD) a kék kulcsok hozzáadásához • RFID 125 kHz / max. 10-30 mm • pótolhatók az elveszett vagy megsérült kulcsok • maximum 24 kulcs párosítható a rendszerhez</t>
        </is>
      </c>
    </row>
    <row r="1776">
      <c r="A1776" s="6" t="inlineStr">
        <is>
          <t xml:space="preserve">   Lakáskiegészítő / Audio kaputelefon</t>
        </is>
      </c>
      <c r="B1776" s="6" t="inlineStr">
        <is>
          <t/>
        </is>
      </c>
      <c r="C1776" s="6" t="inlineStr">
        <is>
          <t/>
        </is>
      </c>
      <c r="D1776" s="6" t="inlineStr">
        <is>
          <t/>
        </is>
      </c>
      <c r="E1776" s="6" t="inlineStr">
        <is>
          <t/>
        </is>
      </c>
      <c r="F1776" s="6" t="inlineStr">
        <is>
          <t/>
        </is>
      </c>
      <c r="G1776" s="6" t="inlineStr">
        <is>
          <t/>
        </is>
      </c>
    </row>
    <row r="1777">
      <c r="A1777" s="3" t="inlineStr">
        <is>
          <t>DP 01</t>
        </is>
      </c>
      <c r="B1777" s="2" t="inlineStr">
        <is>
          <t>Home DP 01 vezetékes kaputelefon szett, kétvezetékes rendszer, kiváló hangátvitel, integrált kapunyitó elektronika, könnyű üzembe helyezés</t>
        </is>
      </c>
      <c r="C1777" s="1" t="n">
        <v>10190.0</v>
      </c>
      <c r="D1777" s="7" t="n">
        <f>HYPERLINK("https://www.somogyi.hu/product/home-dp-01-vezetekes-kaputelefon-szett-ketvezetekes-rendszer-kivalo-hangatvitel-integralt-kapunyito-elektronika-konnyu-uzembe-helyezes-dp-01-6478","https://www.somogyi.hu/product/home-dp-01-vezetekes-kaputelefon-szett-ketvezetekes-rendszer-kivalo-hangatvitel-integralt-kapunyito-elektronika-konnyu-uzembe-helyezes-dp-01-6478")</f>
        <v>0.0</v>
      </c>
      <c r="E1777" s="7" t="n">
        <f>HYPERLINK("https://www.somogyi.hu/data/img/product_main_images/small/06478.jpg","https://www.somogyi.hu/data/img/product_main_images/small/06478.jpg")</f>
        <v>0.0</v>
      </c>
      <c r="F1777" s="2" t="inlineStr">
        <is>
          <t>5998312755242</t>
        </is>
      </c>
      <c r="G1777" s="4" t="inlineStr">
        <is>
          <t>Ügyeljen otthona biztonságára és győződjön meg arról, hogy pontosan ki is érkezik Önhöz látogatóba. A kaputelefonszett ez estben egy rendkívül praktikus megoldás. A termék egy kétvezetékes kaputelefon-rendszer, amely könnyedén üzembehelyezhető. A kapunyitó elektronika plusz tápellátás nélkül működtethető. Válassza a minőségi termékeket és rendeljen webáruházunkból.</t>
        </is>
      </c>
    </row>
    <row r="1778">
      <c r="A1778" s="3" t="inlineStr">
        <is>
          <t>DP 22</t>
        </is>
      </c>
      <c r="B1778" s="2" t="inlineStr">
        <is>
          <t>Home DP 22 vezetékes kaputelefon szett, falon kívüli alumínium kültéri egység, kétvezetékes bekötés, zárnyitási lehetőség, IP23 vízállóság, 230V</t>
        </is>
      </c>
      <c r="C1778" s="1" t="n">
        <v>14990.0</v>
      </c>
      <c r="D1778" s="7" t="n">
        <f>HYPERLINK("https://www.somogyi.hu/product/home-dp-22-vezetekes-kaputelefon-szett-falon-kivuli-aluminium-kulteri-egyseg-ketvezetekes-bekotes-zarnyitasi-lehetoseg-ip23-vizallosag-230v-dp-22-18047","https://www.somogyi.hu/product/home-dp-22-vezetekes-kaputelefon-szett-falon-kivuli-aluminium-kulteri-egyseg-ketvezetekes-bekotes-zarnyitasi-lehetoseg-ip23-vizallosag-230v-dp-22-18047")</f>
        <v>0.0</v>
      </c>
      <c r="E1778" s="7" t="n">
        <f>HYPERLINK("https://www.somogyi.hu/data/img/product_main_images/small/18047.jpg","https://www.somogyi.hu/data/img/product_main_images/small/18047.jpg")</f>
        <v>0.0</v>
      </c>
      <c r="F1778" s="2" t="inlineStr">
        <is>
          <t>5999084960698</t>
        </is>
      </c>
      <c r="G1778" s="4" t="inlineStr">
        <is>
          <t>Egy megbízható kaputelefonszettet keres, amely könnyen telepíthető és esztétikus megjelenésű is egyben? A Home DP 22 vezetékes kaputelefon szett a modern technológiát és a letisztult dizájnt ötvözi, hogy otthona biztonságosabb és vendébarát legyen.
A falon kívül szerelhető kültéri egység alumínium konstrukciója garantálja a tartósságot és az időjárásállóságot. LED megvilágítású névtáblája pedig eleganciát kölcsönöz bejárathoz. A bútorra helyezhető vagy falra szerelhető beltéri készülékkel egyszerűen szabályozhatja a jelzés erősségét, melynek köszönhetően mindig hallani fogja, ha vendég érkezik. A készülék zárnyitási funkcióval is bővíthető, így még kényelmesebbé teheti a vendégek bejuttatását.
Az egyszerű kétvezetékes bekötésnek köszönhetően a szett ideális választás lehet a meglévő, elavult csengők cseréjére is. Működési távolsága akár 50 méter is lehet, biztosítva ezzel a nagyobb ingatlanok lefedettségét is. A kapunyitó elektronika akár külső tápellátás nélkül is működik, így nincs szükség további kábelezésre.
Válassza a Home DP 22 kaputelefonszettet, amely nem csak a kommunikációt könnyíti meg, hanem otthona értékét is növeli!</t>
        </is>
      </c>
    </row>
    <row r="1779">
      <c r="A1779" s="3" t="inlineStr">
        <is>
          <t>DP 012</t>
        </is>
      </c>
      <c r="B1779" s="2" t="inlineStr">
        <is>
          <t>Home DP 012 kétlakásos vezetékes kaputelefon szett, kétvezetékes rendszer, kiváló hangátvitel, kapunyitó elektronika, falba süllyeszthető külső egység</t>
        </is>
      </c>
      <c r="C1779" s="1" t="n">
        <v>21390.0</v>
      </c>
      <c r="D1779" s="7" t="n">
        <f>HYPERLINK("https://www.somogyi.hu/product/home-dp-012-ketlakasos-vezetekes-kaputelefon-szett-ketvezetekes-rendszer-kivalo-hangatvitel-kapunyito-elektronika-falba-sullyesztheto-kulso-egyseg-dp-012-6480","https://www.somogyi.hu/product/home-dp-012-ketlakasos-vezetekes-kaputelefon-szett-ketvezetekes-rendszer-kivalo-hangatvitel-kapunyito-elektronika-falba-sullyesztheto-kulso-egyseg-dp-012-6480")</f>
        <v>0.0</v>
      </c>
      <c r="E1779" s="7" t="n">
        <f>HYPERLINK("https://www.somogyi.hu/data/img/product_main_images/small/06480.jpg","https://www.somogyi.hu/data/img/product_main_images/small/06480.jpg")</f>
        <v>0.0</v>
      </c>
      <c r="F1779" s="2" t="inlineStr">
        <is>
          <t>5998312755266</t>
        </is>
      </c>
      <c r="G1779" s="4" t="inlineStr">
        <is>
          <t>Hogyan oldhatná meg hogy látogatói mindig elérjék Önt, amikor otthonában tartózkodik? A Home DP 012 kétlakásos vezetékes kaputelefon szett nem csak a biztonságát és elérhetőségét garantálja, hanem elegáns megjelenéssel is feldobja környezetét. 
A szett tartalmaz két beltéri egységet és egy fém, falba süllyeszthető külső egységet, amelyek egy kétvezetékes kaputelefon-rendszer részeként gondoskodnak a zavartalan és kiváló minőségű hangátvitelről. A külső egység elegánsan megtervezett, valamint két cserélhető, piros LED háttérvilágítású névtáblával rendelkezik, amelyek személyre szabottá teszik a látogatók fogadását. A szett kapunyitó elektronikája plusz tápellátás nélkül működik, így a telepítése is egyszerű. A könnyű üzembe helyezhetőség garantált: a kábelek csavarral rögzíthetők, a belső egységek pedig akár asztalra helyezhetők, vagy falra szerelhetők. A tápellátás 230 V~ / 50 Hz, a külső egység mérete 200 x 116 x 55 mm, míg a beltéri egységek mérete 87 x 227 x 45 mm. 
Fedezze fel a Home DP 012 kétlakásos vezetékes kaputelefon szett előnyeit, és hozza közelebb lakóközösségét a modern technológiához!</t>
        </is>
      </c>
    </row>
    <row r="1780">
      <c r="A1780" s="3" t="inlineStr">
        <is>
          <t>DP 02</t>
        </is>
      </c>
      <c r="B1780" s="2" t="inlineStr">
        <is>
          <t>Home DP 02 vezetékes kaputelefon szett, kétvezetékes rendszer, kiváló hangátvitel, falba süllyeszthető fém külső egység, kapunyitó elektronika</t>
        </is>
      </c>
      <c r="C1780" s="1" t="n">
        <v>12690.0</v>
      </c>
      <c r="D1780" s="7" t="n">
        <f>HYPERLINK("https://www.somogyi.hu/product/home-dp-02-vezetekes-kaputelefon-szett-ketvezetekes-rendszer-kivalo-hangatvitel-falba-sullyesztheto-fem-kulso-egyseg-kapunyito-elektronika-dp-02-6479","https://www.somogyi.hu/product/home-dp-02-vezetekes-kaputelefon-szett-ketvezetekes-rendszer-kivalo-hangatvitel-falba-sullyesztheto-fem-kulso-egyseg-kapunyito-elektronika-dp-02-6479")</f>
        <v>0.0</v>
      </c>
      <c r="E1780" s="7" t="n">
        <f>HYPERLINK("https://www.somogyi.hu/data/img/product_main_images/small/06479.jpg","https://www.somogyi.hu/data/img/product_main_images/small/06479.jpg")</f>
        <v>0.0</v>
      </c>
      <c r="F1780" s="2" t="inlineStr">
        <is>
          <t>5998312755259</t>
        </is>
      </c>
      <c r="G1780" s="4" t="inlineStr">
        <is>
          <t>Ügyeljen otthona biztonságára és győződjön meg arról, hogy pontosan ki is érkezik Önhöz látogatóba. A kaputelefonszett ez estben egy rendkívül praktikus megoldás. A termék egy kétvezetékes kaputelefon-rendszer, amelynek külső egysége fém, illetve falba süllyeszthető. A kapunyitó elektronika plusz tápellátás nélkül működtethető. Válassza a minőségi termékeket és rendeljen webáruházunkból.</t>
        </is>
      </c>
    </row>
    <row r="1781">
      <c r="A1781" s="6" t="inlineStr">
        <is>
          <t xml:space="preserve">   Lakáskiegészítő / Adó-vevő készülék</t>
        </is>
      </c>
      <c r="B1781" s="6" t="inlineStr">
        <is>
          <t/>
        </is>
      </c>
      <c r="C1781" s="6" t="inlineStr">
        <is>
          <t/>
        </is>
      </c>
      <c r="D1781" s="6" t="inlineStr">
        <is>
          <t/>
        </is>
      </c>
      <c r="E1781" s="6" t="inlineStr">
        <is>
          <t/>
        </is>
      </c>
      <c r="F1781" s="6" t="inlineStr">
        <is>
          <t/>
        </is>
      </c>
      <c r="G1781" s="6" t="inlineStr">
        <is>
          <t/>
        </is>
      </c>
    </row>
    <row r="1782">
      <c r="A1782" s="3" t="inlineStr">
        <is>
          <t>TLKR T42</t>
        </is>
      </c>
      <c r="B1782" s="2" t="inlineStr">
        <is>
          <t>Motorola TLKR T42 adóvevő pár, 4km, 16 PMR csatorna, ~16 óra üzemidő</t>
        </is>
      </c>
      <c r="C1782" s="1" t="n">
        <v>15990.0</v>
      </c>
      <c r="D1782" s="7" t="n">
        <f>HYPERLINK("https://www.somogyi.hu/product/motorola-tlkr-t42-adovevo-par-4km-16-pmr-csatorna-16-ora-uzemido-tlkr-t42-16379","https://www.somogyi.hu/product/motorola-tlkr-t42-adovevo-par-4km-16-pmr-csatorna-16-ora-uzemido-tlkr-t42-16379")</f>
        <v>0.0</v>
      </c>
      <c r="E1782" s="7" t="n">
        <f>HYPERLINK("https://www.somogyi.hu/data/img/product_main_images/small/16379.jpg","https://www.somogyi.hu/data/img/product_main_images/small/16379.jpg")</f>
        <v>0.0</v>
      </c>
      <c r="F1782" s="2" t="inlineStr">
        <is>
          <t>5031753007492</t>
        </is>
      </c>
      <c r="G1782" s="4" t="inlineStr">
        <is>
          <t>A TLKR T42 Adóvevő pár maximum 4 km hatótávolságig használható. Számos munkához kiválóan alkalmazható, biztonsági őröknek, vadászoknak, vagy akár építkezéseken is hasznos lehet. Strapabíró kivitelének köszönhetően hosszú élettartamú készülék lesz.
16 főcsatorna közül választhat használat közben. Tápellátása 3 AAA (LR 03) elemmel történik. Az adóvevő pár akár 16 órán át üzemképes. 
A terméket piros vagy kék színben szállítjuk.</t>
        </is>
      </c>
    </row>
    <row r="1783">
      <c r="A1783" s="3" t="inlineStr">
        <is>
          <t>TLKR T82</t>
        </is>
      </c>
      <c r="B1783" s="2" t="inlineStr">
        <is>
          <t>Motorla TLKR T82 EXTREME adóvevő pár, 10km, 16 PMR csatorna, 121 csatorna, iVOX, IPX 4, ~18 óra üzemidő</t>
        </is>
      </c>
      <c r="C1783" s="1" t="n">
        <v>47790.0</v>
      </c>
      <c r="D1783" s="7" t="n">
        <f>HYPERLINK("https://www.somogyi.hu/product/motorla-tlkr-t82-extreme-adovevo-par-10km-16-pmr-csatorna-121-csatorna-ivox-ipx-4-18-ora-uzemido-tlkr-t82-18163","https://www.somogyi.hu/product/motorla-tlkr-t82-extreme-adovevo-par-10km-16-pmr-csatorna-121-csatorna-ivox-ipx-4-18-ora-uzemido-tlkr-t82-18163")</f>
        <v>0.0</v>
      </c>
      <c r="E1783" s="7" t="n">
        <f>HYPERLINK("https://www.somogyi.hu/data/img/product_main_images/small/18163.jpg","https://www.somogyi.hu/data/img/product_main_images/small/18163.jpg")</f>
        <v>0.0</v>
      </c>
      <c r="F1783" s="2" t="inlineStr">
        <is>
          <t>5031753007232</t>
        </is>
      </c>
      <c r="G1783" s="4" t="inlineStr">
        <is>
          <t xml:space="preserve"> • RF hatótávolság nyílt terepen: max. 10 km 
 • csatorna: 16 
 • alcsatorna: 121 
 • LCD kijelző: rejtett kijelző 
 • választható hívásjelző hang: 20 féle 
 • csatornafelügyelet: kettős csatornafigyelés 
 • VOX hangvezérlés: van 
 • vészjelző gomb: van 
 • tartozék: 2 db adóvevő, 2 db Ni-MH akkumulátor 800 mAh - akár 18 órás élettartam, 2 db övcsipesz, 1 db hálózati töltő 2 ágú microUSB dugóval, használati útmutató, 16 db megkülönböztető matrica 
 • teljesítmény: 0,5 W 
 • méret: 5,7 x 18,1 x 3,3 cm 
 • súly: 197 g (övcsipesszel és akkumulátorral) 
 • üzemidő: max.18 óra 
 • egyéb: PMR446 adóvevő - engedély nélkül használható</t>
        </is>
      </c>
    </row>
    <row r="1784">
      <c r="A1784" s="3" t="inlineStr">
        <is>
          <t>TLKR T62</t>
        </is>
      </c>
      <c r="B1784" s="2" t="inlineStr">
        <is>
          <t>Motorola TLKR T62 adóvevő pár, 8km, 16 PMR csatorna, 121 csatorna, ~16 óra üzemidő</t>
        </is>
      </c>
      <c r="C1784" s="1" t="n">
        <v>32590.0</v>
      </c>
      <c r="D1784" s="7" t="n">
        <f>HYPERLINK("https://www.somogyi.hu/product/motorola-tlkr-t62-adovevo-par-8km-16-pmr-csatorna-121-csatorna-16-ora-uzemido-tlkr-t62-16617","https://www.somogyi.hu/product/motorola-tlkr-t62-adovevo-par-8km-16-pmr-csatorna-121-csatorna-16-ora-uzemido-tlkr-t62-16617")</f>
        <v>0.0</v>
      </c>
      <c r="E1784" s="7" t="n">
        <f>HYPERLINK("https://www.somogyi.hu/data/img/product_main_images/small/16617.jpg","https://www.somogyi.hu/data/img/product_main_images/small/16617.jpg")</f>
        <v>0.0</v>
      </c>
      <c r="F1784" s="2" t="inlineStr">
        <is>
          <t>5031753007324</t>
        </is>
      </c>
      <c r="G1784" s="4" t="inlineStr">
        <is>
          <t>A TLKR T 62 Adóvevő pár maximum 8 km hatótávolságig használható. Számos munkához kiválóan alkalmazható, biztonsági őröknek, vadászoknak, vagy akár építkezéseken is hasznos lehet.
16 főcsatorna és 121 alcsatorna közül választhat. Számos hasznos funkcióval ellátott, mint a csatornafelügyelet, billentyűzár és az akkuállapot kijelzés. 
Üzemeltethető a hozzá tartozó Ni-MH akkumulátorral vagy 3 db 1,5 V (AA) (LR6) elemmel. Egy teljesen feltöltött akkumulátorral 16 órán át üzemel. 
A csomag tartalma 2 db TLKR T62 készülék, 2 db újratölthető Ni-MH akkumulátor, AC adapter és 2 db övcsipesz.</t>
        </is>
      </c>
    </row>
    <row r="1785">
      <c r="A1785" s="6" t="inlineStr">
        <is>
          <t xml:space="preserve">   Lakáskiegészítő / Csengő</t>
        </is>
      </c>
      <c r="B1785" s="6" t="inlineStr">
        <is>
          <t/>
        </is>
      </c>
      <c r="C1785" s="6" t="inlineStr">
        <is>
          <t/>
        </is>
      </c>
      <c r="D1785" s="6" t="inlineStr">
        <is>
          <t/>
        </is>
      </c>
      <c r="E1785" s="6" t="inlineStr">
        <is>
          <t/>
        </is>
      </c>
      <c r="F1785" s="6" t="inlineStr">
        <is>
          <t/>
        </is>
      </c>
      <c r="G1785" s="6" t="inlineStr">
        <is>
          <t/>
        </is>
      </c>
    </row>
    <row r="1786">
      <c r="A1786" s="3" t="inlineStr">
        <is>
          <t>DB 1080DC</t>
        </is>
      </c>
      <c r="B1786" s="2" t="inlineStr">
        <is>
          <t>Vezeték nélküli csengő</t>
        </is>
      </c>
      <c r="C1786" s="1" t="n">
        <v>4890.0</v>
      </c>
      <c r="D1786" s="7" t="n">
        <f>HYPERLINK("https://www.somogyi.hu/product/vezetek-nelkuli-csengo-db-1080dc-17779","https://www.somogyi.hu/product/vezetek-nelkuli-csengo-db-1080dc-17779")</f>
        <v>0.0</v>
      </c>
      <c r="E1786" s="7" t="n">
        <f>HYPERLINK("https://www.somogyi.hu/data/img/product_main_images/small/17779.jpg","https://www.somogyi.hu/data/img/product_main_images/small/17779.jpg")</f>
        <v>0.0</v>
      </c>
      <c r="F1786" s="2" t="inlineStr">
        <is>
          <t>5999084958015</t>
        </is>
      </c>
      <c r="G1786" s="4" t="inlineStr">
        <is>
          <t xml:space="preserve"> • hatótávolság nyílt terepen: kb.100 m 
 • egyedi kódolás tanuló funkcióval 
 • 36 változatos stílusú dallam 
 • működési frekvencia 433,9 MHz 
 • egyszerre akár 8 nyomógomb is hozzátanítható 
 • zavarvédett más csengőktől 
 • nyomógomb tápellátása: 1x3V (CR2032) gombelem, tartozék 
 • csengő tápellátása: 3x1,5V AA (LR6) elem, nem tartozék 
 • - csengő mérete: 
 • 94 x 70 x 30 mm 
 • nyomógomb mérete: 
 • 89 x 89 x 15 mm</t>
        </is>
      </c>
    </row>
    <row r="1787">
      <c r="A1787" s="3" t="inlineStr">
        <is>
          <t>DB 1030DC</t>
        </is>
      </c>
      <c r="B1787" s="2" t="inlineStr">
        <is>
          <t>Home DB 1030DC vezeték nélküli csengő, 100m hatótáv, 36 dallam, 433,92mhz, zavarvédelem, elemes tápellátás</t>
        </is>
      </c>
      <c r="C1787" s="1" t="n">
        <v>4890.0</v>
      </c>
      <c r="D1787" s="7" t="n">
        <f>HYPERLINK("https://www.somogyi.hu/product/home-db-1030dc-vezetek-nelkuli-csengo-100m-hatotav-36-dallam-433-92mhz-zavarvedelem-elemes-tapellatas-db-1030dc-16923","https://www.somogyi.hu/product/home-db-1030dc-vezetek-nelkuli-csengo-100m-hatotav-36-dallam-433-92mhz-zavarvedelem-elemes-tapellatas-db-1030dc-16923")</f>
        <v>0.0</v>
      </c>
      <c r="E1787" s="7" t="n">
        <f>HYPERLINK("https://www.somogyi.hu/data/img/product_main_images/small/16923.jpg","https://www.somogyi.hu/data/img/product_main_images/small/16923.jpg")</f>
        <v>0.0</v>
      </c>
      <c r="F1787" s="2" t="inlineStr">
        <is>
          <t>5999084949556</t>
        </is>
      </c>
      <c r="G1787" s="4" t="inlineStr">
        <is>
          <t xml:space="preserve"> • szín: fehér 
 • vezeték nélküli / vezetékes: vezeték nélküli 
 • RF hatótávolság nyílt terepen: ~100 m 
 • működési frekvencia: 433,9 MHz 
 • egyedileg kódolt: egyedi kódolás tanulófunkcióval 
 • nyomógomb víz elleni védettsége: IP44 
 • választható dallam: 36 dallam 
 • bővíthetőség: egyszerre akár 8 nyomógomb is hozzátanítható (több szett megvásárlása esetén) 
 • tápellátás: nyomógomb tápellátása: 1x3V (CR2032) gombelem, tartozék / csengő tápellátása: 3x1,5V AA (LR6) elem, nem tartozék 
 • méret: csengő mérete: 94 x 70 x 30 mm / nyomógomb mérete: 89 x 89 x 15 mm</t>
        </is>
      </c>
    </row>
    <row r="1788">
      <c r="A1788" s="3" t="inlineStr">
        <is>
          <t>DB 2050AC</t>
        </is>
      </c>
      <c r="B1788" s="2" t="inlineStr">
        <is>
          <t>Vezeték nélküli csengő, 230V, 200 m</t>
        </is>
      </c>
      <c r="C1788" s="1" t="n">
        <v>4490.0</v>
      </c>
      <c r="D1788" s="7" t="n">
        <f>HYPERLINK("https://www.somogyi.hu/product/vezetek-nelkuli-csengo-230v-200-m-db-2050ac-16113","https://www.somogyi.hu/product/vezetek-nelkuli-csengo-230v-200-m-db-2050ac-16113")</f>
        <v>0.0</v>
      </c>
      <c r="E1788" s="7" t="n">
        <f>HYPERLINK("https://www.somogyi.hu/data/img/product_main_images/small/16113.jpg","https://www.somogyi.hu/data/img/product_main_images/small/16113.jpg")</f>
        <v>0.0</v>
      </c>
      <c r="F1788" s="2" t="inlineStr">
        <is>
          <t>5999084941451</t>
        </is>
      </c>
      <c r="G1788" s="4" t="inlineStr">
        <is>
          <t xml:space="preserve"> • vezeték nélküli / vezetékes: vezeték nélküli 
 • RF hatótávolság nyílt terepen: kb. 200 m 
 • működési frekvencia: 433,9 MHz 
 • egyedileg kódolt: igen 
 • nyomógomb víz elleni védettsége: IP44 
 • szabályozható hangerő: 5 lépcsőben 
 • választható dallam: 36 dallam 
 • elemállapot-kijelzés: van 
 • fényjelzés: van 
 • tápellátás: beltéri egység: 230 V~  / 50 Hz / 0,9 W, nyomógomb: LR23A elem (tartozék) 
 • méret: beltéri egység: 80 x 76 x 23 mm, nyomógomb: 42 x 78 x 19 mm</t>
        </is>
      </c>
    </row>
    <row r="1789">
      <c r="A1789" s="3" t="inlineStr">
        <is>
          <t>DBP 01</t>
        </is>
      </c>
      <c r="B1789" s="2" t="inlineStr">
        <is>
          <t>Nyomógomb vezeték nélküli csengőhöz</t>
        </is>
      </c>
      <c r="C1789" s="1" t="n">
        <v>3390.0</v>
      </c>
      <c r="D1789" s="7" t="n">
        <f>HYPERLINK("https://www.somogyi.hu/product/nyomogomb-vezetek-nelkuli-csengohoz-dbp-01-8472","https://www.somogyi.hu/product/nyomogomb-vezetek-nelkuli-csengohoz-dbp-01-8472")</f>
        <v>0.0</v>
      </c>
      <c r="E1789" s="7" t="n">
        <f>HYPERLINK("https://www.somogyi.hu/data/img/product_main_images/small/08472.jpg","https://www.somogyi.hu/data/img/product_main_images/small/08472.jpg")</f>
        <v>0.0</v>
      </c>
      <c r="F1789" s="2" t="inlineStr">
        <is>
          <t>5998312742433</t>
        </is>
      </c>
      <c r="G1789" s="4" t="inlineStr">
        <is>
          <t>Nyomógomb vezeték nélküli csengőhöz. Használható: DB 108, DB 118, DB 128, DB 208, DB 218, DB 228, DB 238, DB 248, DB 258, DB   268, DB 298, DB 1001DC, DBS 1001DC, DB 1002AC, DB 1501AC, DB 1502DC, DB1503AC típusú csengőkhöz. Tápellátása: 1 X CR2032 [3 V] elem.
Válassza a minőségi termékeket és rendeljen webáruházunkból!</t>
        </is>
      </c>
    </row>
    <row r="1790">
      <c r="A1790" s="3" t="inlineStr">
        <is>
          <t>D 6</t>
        </is>
      </c>
      <c r="B1790" s="2" t="inlineStr">
        <is>
          <t>Home D 6 vezetékes dallamcsengő, a régi csengőgombbal és vezetékkel üzemeltethető, 8 választható dallam, elemes tápellátás</t>
        </is>
      </c>
      <c r="C1790" s="1" t="n">
        <v>6990.0</v>
      </c>
      <c r="D1790" s="7" t="n">
        <f>HYPERLINK("https://www.somogyi.hu/product/home-d-6-vezetekes-dallamcsengo-a-regi-csengogombbal-es-vezetekkel-uzemeltetheto-8-valaszthato-dallam-elemes-tapellatas-d-6-2783","https://www.somogyi.hu/product/home-d-6-vezetekes-dallamcsengo-a-regi-csengogombbal-es-vezetekkel-uzemeltetheto-8-valaszthato-dallam-elemes-tapellatas-d-6-2783")</f>
        <v>0.0</v>
      </c>
      <c r="E1790" s="7" t="n">
        <f>HYPERLINK("https://www.somogyi.hu/data/img/product_main_images/small/02783.jpg","https://www.somogyi.hu/data/img/product_main_images/small/02783.jpg")</f>
        <v>0.0</v>
      </c>
      <c r="F1790" s="2" t="inlineStr">
        <is>
          <t>5998312731079</t>
        </is>
      </c>
      <c r="G1790" s="4" t="inlineStr">
        <is>
          <t>Dizájnos csengőt szeretne vásárolni? Ez esetben a vezetékes dallamcsengőnél aligha talál jobbat.
A D6 előnye továbbá, hogy működtethető a régi csengőgombbal, ezen kívül 8 különböző dallam közül választhatunk. Tápellátása: 2 X AA (1,5 V). Válassza a minőségi termékeket és rendeljen webáruházunkból!</t>
        </is>
      </c>
    </row>
    <row r="1791">
      <c r="A1791" s="3" t="inlineStr">
        <is>
          <t>DB112AC</t>
        </is>
      </c>
      <c r="B1791" s="2" t="inlineStr">
        <is>
          <t>Home DB112AC vezeték nélküli csengő, 100m hatótáv, 36 dallam, többszólamú hangzás, 4 lépcsős hangerő, kék LED visszajelző, 230V-os tápellátás</t>
        </is>
      </c>
      <c r="C1791" s="1" t="n">
        <v>7990.0</v>
      </c>
      <c r="D1791" s="7" t="n">
        <f>HYPERLINK("https://www.somogyi.hu/product/home-db112ac-vezetek-nelkuli-csengo-100m-hatotav-36-dallam-tobbszolamu-hangzas-4-lepcsos-hangero-kek-led-visszajelzo-230v-os-tapellatas-db112ac-18474","https://www.somogyi.hu/product/home-db112ac-vezetek-nelkuli-csengo-100m-hatotav-36-dallam-tobbszolamu-hangzas-4-lepcsos-hangero-kek-led-visszajelzo-230v-os-tapellatas-db112ac-18474")</f>
        <v>0.0</v>
      </c>
      <c r="E1791" s="7" t="n">
        <f>HYPERLINK("https://www.somogyi.hu/data/img/product_main_images/small/18474.jpg","https://www.somogyi.hu/data/img/product_main_images/small/18474.jpg")</f>
        <v>0.0</v>
      </c>
      <c r="F1791" s="2" t="inlineStr">
        <is>
          <t>5999084964924</t>
        </is>
      </c>
      <c r="G1791" s="4" t="inlineStr">
        <is>
          <t>Egyedi dizájnnal ellátott csengő vásárlását tervezi? Ez esetben a DB112AC a legideálisabb az Ön számára.
Nyílt terepen 100 m hatótávolsággal rendelkező vezeték nélküli csengő, amely 36 kiválasztható dallamot biztosít. A termék igényes, többszólamú hangzást kínál. A dallamok hangereje 4 lépcsős fokozatban állítható. A csengő kék színű LED-es visszajelző fényt bocsát ki. A nyomógomb a por és víz ellen védett IP44-es védettséggel lett ellátva. Tápellátása: nyomógomb LR23A (12 V) elem, beltéri egység 230 V~ / 50 Hz.
Válassza a minőségi termékeket és rendeljen webáruházunkból.</t>
        </is>
      </c>
    </row>
    <row r="1792">
      <c r="A1792" s="3" t="inlineStr">
        <is>
          <t>DBP 03</t>
        </is>
      </c>
      <c r="B1792" s="2" t="inlineStr">
        <is>
          <t>Home DBP 03 nyomógomb vezeték nélküli csengőhöz, pótláshoz vagy bővítéshez, 200m hatótáv, IP44 védettség, Home vezeték nélküli csengőkhöz</t>
        </is>
      </c>
      <c r="C1792" s="1" t="n">
        <v>3590.0</v>
      </c>
      <c r="D1792" s="7" t="n">
        <f>HYPERLINK("https://www.somogyi.hu/product/home-dbp-03-nyomogomb-vezetek-nelkuli-csengohoz-potlashoz-vagy-boviteshez-200m-hatotav-ip44-vedettseg-home-vezetek-nelkuli-csengokhoz-dbp-03-16380","https://www.somogyi.hu/product/home-dbp-03-nyomogomb-vezetek-nelkuli-csengohoz-potlashoz-vagy-boviteshez-200m-hatotav-ip44-vedettseg-home-vezetek-nelkuli-csengokhoz-dbp-03-16380")</f>
        <v>0.0</v>
      </c>
      <c r="E1792" s="7" t="n">
        <f>HYPERLINK("https://www.somogyi.hu/data/img/product_main_images/small/16380.jpg","https://www.somogyi.hu/data/img/product_main_images/small/16380.jpg")</f>
        <v>0.0</v>
      </c>
      <c r="F1792" s="2" t="inlineStr">
        <is>
          <t>5999084944124</t>
        </is>
      </c>
      <c r="G1792" s="4" t="inlineStr">
        <is>
          <t>A DBP 03 nyomógomb vezeték nélküli csengőkhöz használható. Ha elromlott vagy elveszett a régi nyomógomb, nem kell a csengőjét kidobni. IP 44 védelemmel ellátott, így hosszútávon üzemképes marad. A nyomógomg maximum 200 m hatótávolságon működik nyílt terepen.  
Tápellátása 1 db CR 2032 (3 V) elemmel történik, amely tartozék. 
Az alábbi típusú csengőkkel kompatibilis: 
DB 108, DB 118, DB 128, DB 208, DB 218, DB 228, DB 268, DB 442, DBS 1001DC, DB 1001DC, DB 1002AC, DB 1501AC, DB 1502DC, DB 1503AC</t>
        </is>
      </c>
    </row>
    <row r="1793">
      <c r="A1793" s="3" t="inlineStr">
        <is>
          <t>DBS 1001DC</t>
        </is>
      </c>
      <c r="B1793" s="2" t="inlineStr">
        <is>
          <t>Home DBS 1001DC vezeték nélküli csengőszett, 2 beltéri egység és 1 nyomógomb, 100m hatótáv, többszólamú hang, 8 dallam, elemes tápellátás</t>
        </is>
      </c>
      <c r="C1793" s="1" t="n">
        <v>10890.0</v>
      </c>
      <c r="D1793" s="7" t="n">
        <f>HYPERLINK("https://www.somogyi.hu/product/home-dbs-1001dc-vezetek-nelkuli-csengoszett-2-belteri-egyseg-es-1-nyomogomb-100m-hatotav-tobbszolamu-hang-8-dallam-elemes-tapellatas-dbs-1001dc-15868","https://www.somogyi.hu/product/home-dbs-1001dc-vezetek-nelkuli-csengoszett-2-belteri-egyseg-es-1-nyomogomb-100m-hatotav-tobbszolamu-hang-8-dallam-elemes-tapellatas-dbs-1001dc-15868")</f>
        <v>0.0</v>
      </c>
      <c r="E1793" s="7" t="n">
        <f>HYPERLINK("https://www.somogyi.hu/data/img/product_main_images/small/15868.jpg","https://www.somogyi.hu/data/img/product_main_images/small/15868.jpg")</f>
        <v>0.0</v>
      </c>
      <c r="F1793" s="2" t="inlineStr">
        <is>
          <t>5999084939021</t>
        </is>
      </c>
      <c r="G1793" s="4" t="inlineStr">
        <is>
          <t>A DBS 1001 DC Vezeték nélküli csengő szett 2 db beltéri egységet és 1 db nyomógombot tartalmaz. Ideális választás lehet nagyobb vagy két szintes házakban, üzlethelységekben, de akár személyhívónak is. 
A beltéri egység egyenként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794">
      <c r="A1794" s="3" t="inlineStr">
        <is>
          <t>DW915S</t>
        </is>
      </c>
      <c r="B1794" s="2" t="inlineStr">
        <is>
          <t>Honeywell hordozható, vezetékes csengő</t>
        </is>
      </c>
      <c r="C1794" s="1" t="n">
        <v>24090.0</v>
      </c>
      <c r="D1794" s="7" t="n">
        <f>HYPERLINK("https://www.somogyi.hu/product/honeywell-hordozhato-vezetekes-csengo-dw915s-17302","https://www.somogyi.hu/product/honeywell-hordozhato-vezetekes-csengo-dw915s-17302")</f>
        <v>0.0</v>
      </c>
      <c r="E1794" s="7" t="n">
        <f>HYPERLINK("https://www.somogyi.hu/data/img/product_main_images/small/17302.jpg","https://www.somogyi.hu/data/img/product_main_images/small/17302.jpg")</f>
        <v>0.0</v>
      </c>
      <c r="F1794" s="2" t="inlineStr">
        <is>
          <t>5004100965721</t>
        </is>
      </c>
      <c r="G1794" s="4" t="inlineStr">
        <is>
          <t>A Honeywell hordozható vezetékes csengő esetén egyszerűen csak a falhoz kell rögzíteni a vezetékes egységet és használhatja a csengőt akár rögzítettként, akár hordozhatóként.
A használathoz külön megvásárolható nyomógomb szükséges (DCP311 ajánlott).
Hatótávolsága nyílt terepen maximum 200 m.
A csengetés hangját 8 dallamból tudjuk kiválasztani és tetszés szerint beállíthatjuk a kívánt hangerőt.
A termék diszkrét stroboszkópos LED keretvilágítású, amely LED hangjelzéskor jelzőfényt bocsájt ki, így sötétedéskor is jól láthatóvá válik.</t>
        </is>
      </c>
    </row>
    <row r="1795">
      <c r="A1795" s="3" t="inlineStr">
        <is>
          <t>DB 1051AC</t>
        </is>
      </c>
      <c r="B1795" s="2" t="inlineStr">
        <is>
          <t>Vezeték nélküli csengő</t>
        </is>
      </c>
      <c r="C1795" s="1" t="n">
        <v>4390.0</v>
      </c>
      <c r="D1795" s="7" t="n">
        <f>HYPERLINK("https://www.somogyi.hu/product/vezetek-nelkuli-csengo-db-1051ac-17308","https://www.somogyi.hu/product/vezetek-nelkuli-csengo-db-1051ac-17308")</f>
        <v>0.0</v>
      </c>
      <c r="E1795" s="7" t="n">
        <f>HYPERLINK("https://www.somogyi.hu/data/img/product_main_images/small/17308.jpg","https://www.somogyi.hu/data/img/product_main_images/small/17308.jpg")</f>
        <v>0.0</v>
      </c>
      <c r="F1795" s="2" t="inlineStr">
        <is>
          <t>5999084953300</t>
        </is>
      </c>
      <c r="G1795" s="4" t="inlineStr">
        <is>
          <t>A DB 1051 AC Vezeték nélküli csengő ideális választás otthonában. Egyedi kódolású tanuló funkciója által egyszerre akár 8 db nyomógomb is hozzá rendelhető.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796">
      <c r="A1796" s="3" t="inlineStr">
        <is>
          <t>DC515NP2</t>
        </is>
      </c>
      <c r="B1796" s="2" t="inlineStr">
        <is>
          <t>Honeywell Home DC515N vezeték nélküli csengő, 150m hatótáv, 9 dallam, időzíthető némítás, LED fényjelzés, többcsatornás, 230V-os tápellátás</t>
        </is>
      </c>
      <c r="C1796" s="1" t="n">
        <v>23190.0</v>
      </c>
      <c r="D1796" s="7" t="n">
        <f>HYPERLINK("https://www.somogyi.hu/product/honeywell-home-dc515n-vezetek-nelkuli-csengo-150m-hatotav-9-dallam-idozitheto-nemitas-led-fenyjelzes-tobbcsatornas-230v-os-tapellatas-dc515np2-17297","https://www.somogyi.hu/product/honeywell-home-dc515n-vezetek-nelkuli-csengo-150m-hatotav-9-dallam-idozitheto-nemitas-led-fenyjelzes-tobbcsatornas-230v-os-tapellatas-dc515np2-17297")</f>
        <v>0.0</v>
      </c>
      <c r="E1796" s="7" t="n">
        <f>HYPERLINK("https://www.somogyi.hu/data/img/product_main_images/small/17297.jpg","https://www.somogyi.hu/data/img/product_main_images/small/17297.jpg")</f>
        <v>0.0</v>
      </c>
      <c r="F1796" s="2" t="inlineStr">
        <is>
          <t>5004100965554</t>
        </is>
      </c>
      <c r="G1796"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9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797">
      <c r="A1797" s="3" t="inlineStr">
        <is>
          <t>DC313NP2</t>
        </is>
      </c>
      <c r="B1797" s="2" t="inlineStr">
        <is>
          <t>Honeywell Home DC313NP2 vezeték nélküli csengő, 150m hatótáv, 6 dallam, LED jelzőfény, nyomógomb IP55 védett, 230V-os tápellátás</t>
        </is>
      </c>
      <c r="C1797" s="1" t="n">
        <v>19390.0</v>
      </c>
      <c r="D1797" s="7" t="n">
        <f>HYPERLINK("https://www.somogyi.hu/product/honeywell-home-dc313np2-vezetek-nelkuli-csengo-150m-hatotav-6-dallam-led-jelzofeny-nyomogomb-ip55-vedett-230v-os-tapellatas-dc313np2-17295","https://www.somogyi.hu/product/honeywell-home-dc313np2-vezetek-nelkuli-csengo-150m-hatotav-6-dallam-led-jelzofeny-nyomogomb-ip55-vedett-230v-os-tapellatas-dc313np2-17295")</f>
        <v>0.0</v>
      </c>
      <c r="E1797" s="7" t="n">
        <f>HYPERLINK("https://www.somogyi.hu/data/img/product_main_images/small/17295.jpg","https://www.somogyi.hu/data/img/product_main_images/small/17295.jpg")</f>
        <v>0.0</v>
      </c>
      <c r="F1797" s="2" t="inlineStr">
        <is>
          <t>5004100965448</t>
        </is>
      </c>
      <c r="G1797" s="4" t="inlineStr">
        <is>
          <t>A Honeywell vezeték nélküli csengő hangjelzésekor LED jelzőfényt bocsájt ki és 6 féle dallamból lehet választani. Állítható a hangerő, valamint a fényjelzés az igényeknek megfelelően kikapcsolható.
Hatótávolsága maximum 150 méter.  A nyomógomb víz elleni IP55 védelemmel ellátott.
A hangerő maximum 84 dB és igény szerint állítható.</t>
        </is>
      </c>
    </row>
    <row r="1798">
      <c r="A1798" s="3" t="inlineStr">
        <is>
          <t>DB 1002AC/M</t>
        </is>
      </c>
      <c r="B1798" s="2" t="inlineStr">
        <is>
          <t>Vezeték nélküli csengő és éjjeli fény</t>
        </is>
      </c>
      <c r="C1798" s="1" t="n">
        <v>9290.0</v>
      </c>
      <c r="D1798" s="7" t="n">
        <f>HYPERLINK("https://www.somogyi.hu/product/vezetek-nelkuli-csengo-es-ejjeli-feny-db-1002ac-m-16386","https://www.somogyi.hu/product/vezetek-nelkuli-csengo-es-ejjeli-feny-db-1002ac-m-16386")</f>
        <v>0.0</v>
      </c>
      <c r="E1798" s="7" t="n">
        <f>HYPERLINK("https://www.somogyi.hu/data/img/product_main_images/small/16386.jpg","https://www.somogyi.hu/data/img/product_main_images/small/16386.jpg")</f>
        <v>0.0</v>
      </c>
      <c r="F1798" s="2" t="inlineStr">
        <is>
          <t>5999084944186</t>
        </is>
      </c>
      <c r="G1798" s="4" t="inlineStr">
        <is>
          <t>A DB 1002AC/M Vezeték nélküli csengő ideális választás otthonába. 
A beltéri egység 230 V-ról üzemeltethető, fényjelzéssel és 8 választható dallammal jelez. A beltéri egységen bekapcsolható a hidegfehér világítás, amely éjjeli fényként is funkcionál.
A külső egység IP 44 védelemmel ellátott. Tápellátásához 1 db 3V (CR2032) elem szükséges, melyet a csomag tartalmaz. 
256 digitális kód érhető el a készüléken, melyet egyedi kódolás tanulófunkcióval állíthat be. Áramkimaradás esetén a beállítások megmaradnak. 
A vezeték nélküli csengő maximum 100 m hatótávolságon működik nyílt terepen.</t>
        </is>
      </c>
    </row>
    <row r="1799">
      <c r="A1799" s="3" t="inlineStr">
        <is>
          <t>DC313N</t>
        </is>
      </c>
      <c r="B1799" s="2" t="inlineStr">
        <is>
          <t>Honeywell Home DC313N vezeték nélküli csengő, 150m hatótáv, 6 dallam, LED jelzőfény, IP55 nyomógomb, elemes tápellátás</t>
        </is>
      </c>
      <c r="C1799" s="1" t="n">
        <v>17390.0</v>
      </c>
      <c r="D1799" s="7" t="n">
        <f>HYPERLINK("https://www.somogyi.hu/product/honeywell-home-dc313n-vezetek-nelkuli-csengo-150m-hatotav-6-dallam-led-jelzofeny-ip55-nyomogomb-elemes-tapellatas-dc313n-17294","https://www.somogyi.hu/product/honeywell-home-dc313n-vezetek-nelkuli-csengo-150m-hatotav-6-dallam-led-jelzofeny-ip55-nyomogomb-elemes-tapellatas-dc313n-17294")</f>
        <v>0.0</v>
      </c>
      <c r="E1799" s="7" t="n">
        <f>HYPERLINK("https://www.somogyi.hu/data/img/product_main_images/small/17294.jpg","https://www.somogyi.hu/data/img/product_main_images/small/17294.jpg")</f>
        <v>0.0</v>
      </c>
      <c r="F1799" s="2" t="inlineStr">
        <is>
          <t>5004100965370</t>
        </is>
      </c>
      <c r="G1799" s="4" t="inlineStr">
        <is>
          <t>Honeywell vezeték nélküli csengőn LED fény is jelez, amely igény szerint kikapcsolható és 6 dallamválasztékból dönthetjük el a nekünk tetszőt.
Hatótávolsága maximum 150 méter. A nyomógomb víz elleni IP55 védelemmel ellátott.
A hangerő magasságát egyénileg meghatározhatjuk.</t>
        </is>
      </c>
    </row>
    <row r="1800">
      <c r="A1800" s="3" t="inlineStr">
        <is>
          <t>DC311NP2</t>
        </is>
      </c>
      <c r="B1800" s="2" t="inlineStr">
        <is>
          <t>Honeywell Home DC311NP2 vezeték nélküli csengő, 150m hatótávolság, 4 dallam, IP55 védett nyomógomb, 230V tápellátás</t>
        </is>
      </c>
      <c r="C1800" s="1" t="n">
        <v>18490.0</v>
      </c>
      <c r="D1800" s="7" t="n">
        <f>HYPERLINK("https://www.somogyi.hu/product/honeywell-home-dc311np2-vezetek-nelkuli-csengo-150m-hatotavolsag-4-dallam-ip55-vedett-nyomogomb-230v-tapellatas-dc311np2-17293","https://www.somogyi.hu/product/honeywell-home-dc311np2-vezetek-nelkuli-csengo-150m-hatotavolsag-4-dallam-ip55-vedett-nyomogomb-230v-tapellatas-dc311np2-17293")</f>
        <v>0.0</v>
      </c>
      <c r="E1800" s="7" t="n">
        <f>HYPERLINK("https://www.somogyi.hu/data/img/product_main_images/small/17293.jpg","https://www.somogyi.hu/data/img/product_main_images/small/17293.jpg")</f>
        <v>0.0</v>
      </c>
      <c r="F1800" s="2" t="inlineStr">
        <is>
          <t>5004100965356</t>
        </is>
      </c>
      <c r="G1800" s="4" t="inlineStr">
        <is>
          <t>Honeywell vezeték nélküli csengőn tetszés szerint választhatunk 4 féle dallamból, a hangerő maximum 80 dB és igény szerint állítható.
Hatótávolsága maximum 150 méter.  A nyomógomb víz elleni IP55 védelemmel ellátott.</t>
        </is>
      </c>
    </row>
    <row r="1801">
      <c r="A1801" s="3" t="inlineStr">
        <is>
          <t>DC311N</t>
        </is>
      </c>
      <c r="B1801" s="2" t="inlineStr">
        <is>
          <t>Honeywell Home DC311N vezeték nélküli csengő, 150m hatótávolság, 4 dallam, IP55 védett nyomógomb, elemes tápellátás</t>
        </is>
      </c>
      <c r="C1801" s="1" t="n">
        <v>14790.0</v>
      </c>
      <c r="D1801" s="7" t="n">
        <f>HYPERLINK("https://www.somogyi.hu/product/honeywell-home-dc311n-vezetek-nelkuli-csengo-150m-hatotavolsag-4-dallam-ip55-vedett-nyomogomb-elemes-tapellatas-dc311n-17292","https://www.somogyi.hu/product/honeywell-home-dc311n-vezetek-nelkuli-csengo-150m-hatotavolsag-4-dallam-ip55-vedett-nyomogomb-elemes-tapellatas-dc311n-17292")</f>
        <v>0.0</v>
      </c>
      <c r="E1801" s="7" t="n">
        <f>HYPERLINK("https://www.somogyi.hu/data/img/product_main_images/small/17292.jpg","https://www.somogyi.hu/data/img/product_main_images/small/17292.jpg")</f>
        <v>0.0</v>
      </c>
      <c r="F1801" s="2" t="inlineStr">
        <is>
          <t>5004100965349</t>
        </is>
      </c>
      <c r="G1801" s="4" t="inlineStr">
        <is>
          <t>A vezeték nélküli csengő megbízhatóan minden alkalommal jelzi a látogatók érkezését.
Négy dallamválasztékból dönthetjük el a nekünk tetszőt.
Hatótávolsága maximum 150 méter. A nyomógomb víz elleni IP55 védelemmel ellátott.
A hangerő magasságát egyénileg meghatározhatjuk.
A nyomógomb tápellátás: 1 db CR2032 elem (1x 3V), amely tartozékul szolgál.
Tápellátása 4 db LR6-os elem (4x1,5V), amely nem képez tartozékot.</t>
        </is>
      </c>
    </row>
    <row r="1802">
      <c r="A1802" s="3" t="inlineStr">
        <is>
          <t>DBK 1500AC</t>
        </is>
      </c>
      <c r="B1802" s="2" t="inlineStr">
        <is>
          <t>Home DBK 1500AC vezeték nélküli csengő, elem nélküli, 150m hatótáv, 36 dallam, 4 fokozatú hangerő, fényjelzés, kinetikus nyomógomb, 230V-os tápellátás</t>
        </is>
      </c>
      <c r="C1802" s="1" t="n">
        <v>10890.0</v>
      </c>
      <c r="D1802" s="7" t="n">
        <f>HYPERLINK("https://www.somogyi.hu/product/home-dbk-1500ac-vezetek-nelkuli-csengo-elem-nelkuli-150m-hatotav-36-dallam-4-fokozatu-hangero-fenyjelzes-kinetikus-nyomogomb-230v-os-tapellatas-dbk-1500ac-16434","https://www.somogyi.hu/product/home-dbk-1500ac-vezetek-nelkuli-csengo-elem-nelkuli-150m-hatotav-36-dallam-4-fokozatu-hangero-fenyjelzes-kinetikus-nyomogomb-230v-os-tapellatas-dbk-1500ac-16434")</f>
        <v>0.0</v>
      </c>
      <c r="E1802" s="7" t="n">
        <f>HYPERLINK("https://www.somogyi.hu/data/img/product_main_images/small/16434.jpg","https://www.somogyi.hu/data/img/product_main_images/small/16434.jpg")</f>
        <v>0.0</v>
      </c>
      <c r="F1802" s="2" t="inlineStr">
        <is>
          <t>5999084944667</t>
        </is>
      </c>
      <c r="G1802" s="4" t="inlineStr">
        <is>
          <t>A DBK 1500AC Vezeték és elem nélküli csengő ideális választás otthonába, ha megbízható készüléket szeretne. Erősen zavarvédett más csengőktől.
A beltéri egység 230 V-ról üzemeltethető, melynek hangereje 4+1 fokozatban állítható.  
A külső egység kinetikus energiával működik, a kapcsoló megnyomásakor keletkező energia segít a jelzés leadásában a beltéri egység felé, így hidegben is pontosan funkcionál. 36 csengetési dallam közül választhatja ki az ideálist. 
A vezeték és elem nélküli csengő maximum 150 m hatótávolságon működik nyílt terepen.</t>
        </is>
      </c>
    </row>
    <row r="1803">
      <c r="A1803" s="3" t="inlineStr">
        <is>
          <t>DCP711</t>
        </is>
      </c>
      <c r="B1803" s="2" t="inlineStr">
        <is>
          <t>Honeywell Home DCP311 nyomógomb, 200m RF hatótáv, 868mhz, IP55, Honeywell DC csengőkhöz, elem tartozék</t>
        </is>
      </c>
      <c r="C1803" s="1" t="n">
        <v>6090.0</v>
      </c>
      <c r="D1803" s="7" t="n">
        <f>HYPERLINK("https://www.somogyi.hu/product/honeywell-home-dcp311-nyomogomb-200m-rf-hatotav-868mhz-ip55-honeywell-dc-csengokhoz-elem-tartozek-dcp711-17506","https://www.somogyi.hu/product/honeywell-home-dcp311-nyomogomb-200m-rf-hatotav-868mhz-ip55-honeywell-dc-csengokhoz-elem-tartozek-dcp711-17506")</f>
        <v>0.0</v>
      </c>
      <c r="E1803" s="7" t="n">
        <f>HYPERLINK("https://www.somogyi.hu/data/img/product_main_images/small/17506.jpg","https://www.somogyi.hu/data/img/product_main_images/small/17506.jpg")</f>
        <v>0.0</v>
      </c>
      <c r="F1803" s="2" t="inlineStr">
        <is>
          <t>5004100967831</t>
        </is>
      </c>
      <c r="G1803" s="4" t="inlineStr">
        <is>
          <t xml:space="preserve"> • kizárólag Honeywell márkájú DC kezdetű csengőkhöz 
 • RF hatótávolság nyílt terepen: 200 m 
 • működési frekvencia: 868 MHz 
 • IP55 védettség 
 • tápellátás: CR2032 elem, tartozék 
 • méret: 42 x 42 x 18,5 mm</t>
        </is>
      </c>
    </row>
    <row r="1804">
      <c r="A1804" s="3" t="inlineStr">
        <is>
          <t>DCP311</t>
        </is>
      </c>
      <c r="B1804" s="2" t="inlineStr">
        <is>
          <t>Honeywell Home DCP311 nyomógomb, 200m RF hatótáv, 868mhz, IP55, Honeywell DC csengőkhöz, elem tartozék</t>
        </is>
      </c>
      <c r="C1804" s="1" t="n">
        <v>6090.0</v>
      </c>
      <c r="D1804" s="7" t="n">
        <f>HYPERLINK("https://www.somogyi.hu/product/honeywell-home-dcp311-nyomogomb-200m-rf-hatotav-868mhz-ip55-honeywell-dc-csengokhoz-elem-tartozek-dcp311-17507","https://www.somogyi.hu/product/honeywell-home-dcp311-nyomogomb-200m-rf-hatotav-868mhz-ip55-honeywell-dc-csengokhoz-elem-tartozek-dcp311-17507")</f>
        <v>0.0</v>
      </c>
      <c r="E1804" s="7" t="n">
        <f>HYPERLINK("https://www.somogyi.hu/data/img/product_main_images/small/17507.jpg","https://www.somogyi.hu/data/img/product_main_images/small/17507.jpg")</f>
        <v>0.0</v>
      </c>
      <c r="F1804" s="2" t="inlineStr">
        <is>
          <t>5004100965738</t>
        </is>
      </c>
      <c r="G1804" s="4" t="inlineStr">
        <is>
          <t xml:space="preserve"> • szín: fehér 
 • vezeték nélküli / vezetékes: vezeték nélküli 
 • RF hatótávolság nyílt terepen: 200 m 
 • működési frekvencia: 868 MHz 
 • nyomógomb víz elleni védettsége: IP55 
 • tápellátás: CR2032 elem (tartozék) 
 • méret: 30 x 70 x 16 mm</t>
        </is>
      </c>
    </row>
    <row r="1805">
      <c r="A1805" s="3" t="inlineStr">
        <is>
          <t>DCR313N</t>
        </is>
      </c>
      <c r="B1805" s="2" t="inlineStr">
        <is>
          <t>Honeywell Home DCR313N vezeték nélküli csengő, 150m hatótáv, 84 dB, 6 dallam, LED jelzőfény, IP55, 868 MHz</t>
        </is>
      </c>
      <c r="C1805" s="1" t="n">
        <v>9990.0</v>
      </c>
      <c r="D1805" s="7" t="n">
        <f>HYPERLINK("https://www.somogyi.hu/product/honeywell-home-dcr313n-vezetek-nelkuli-csengo-150m-hatotav-84-db-6-dallam-led-jelzofeny-ip55-868-mhz-dcr313n-17300","https://www.somogyi.hu/product/honeywell-home-dcr313n-vezetek-nelkuli-csengo-150m-hatotav-84-db-6-dallam-led-jelzofeny-ip55-868-mhz-dcr313n-17300")</f>
        <v>0.0</v>
      </c>
      <c r="E1805" s="7" t="n">
        <f>HYPERLINK("https://www.somogyi.hu/data/img/product_main_images/small/17300.jpg","https://www.somogyi.hu/data/img/product_main_images/small/17300.jpg")</f>
        <v>0.0</v>
      </c>
      <c r="F1805" s="2" t="inlineStr">
        <is>
          <t>5004100965653</t>
        </is>
      </c>
      <c r="G1805" s="4" t="inlineStr">
        <is>
          <t>Ön is szeretne egy olyan megbízható csengőt, amely messzire hallatszik és több dallam közül is választhat? A Honeywell Home DCR313N vezeték nélküli csengő kiváló választás azok számára, akik nem akarnak kompromisszumot kötni a minőség terén. Ez a modern készülék akár 150 méteres hatótávolságot biztosít, mely elegendő még a legtágasabb otthonokhoz is.
Az 84 dB maximális hangerő garantálja, hogy a csengő hangját a ház legtöbb pontján hallani fogja. A hat különféle dallam lehetővé teszi, hogy kedvére válogathasson a hangzások között. A beépített LED jelzőfény minden csengetéskor világít, így vizuális visszajelzést is kap, ha látogatója érkezik. Az állítható hangerő szinteknek köszönhetően beállíthatja a kívánt erősséget.
Az IP55 védettségű nyomógomb különösen ellenálló az időjárás viszontagságainak így azt kültéren is telepítheti, míg a 868 MHz-es frekvencia biztosítja a zavartalan működést. A csengő működtetéséhez szükséges 4 AA elemet külön kell beszereznie, de a csomag tartalmaz egy CR2032-es elemet a nyomógombhoz. Méretei tökéletesek, minden otthonban diszkréten elhelyezhető. Válassza a Honeywell Home DCR313N csengőt, hogy soha többé ne szalassza el látogatóit!</t>
        </is>
      </c>
    </row>
    <row r="1806">
      <c r="A1806" s="3" t="inlineStr">
        <is>
          <t>DC515EP2</t>
        </is>
      </c>
      <c r="B1806" s="2" t="inlineStr">
        <is>
          <t>Honeywell vezeték nélküli csengő, 230 V, 150 m</t>
        </is>
      </c>
      <c r="C1806" s="1" t="n">
        <v>14990.0</v>
      </c>
      <c r="D1806" s="7" t="n">
        <f>HYPERLINK("https://www.somogyi.hu/product/honeywell-vezetek-nelkuli-csengo-230-v-150-m-dc515ep2-15762","https://www.somogyi.hu/product/honeywell-vezetek-nelkuli-csengo-230-v-150-m-dc515ep2-15762")</f>
        <v>0.0</v>
      </c>
      <c r="E1806" s="7" t="n">
        <f>HYPERLINK("https://www.somogyi.hu/data/img/product_main_images/small/15762.jpg","https://www.somogyi.hu/data/img/product_main_images/small/15762.jpg")</f>
        <v>0.0</v>
      </c>
      <c r="F1806" s="2" t="inlineStr">
        <is>
          <t>5004100967930</t>
        </is>
      </c>
      <c r="G1806" s="4" t="inlineStr">
        <is>
          <t>Egy megbízható csengőt keres?  Ez esetben a legjobb helyen jár! A DC515EP2 egy 150 m hatótávolságú, 84 dB hangerővel rendelkező vezeték nélküli csengő. 6 dallam közül választhatjuk ki a beállítani kívánt jelzőhangot. Diszkrét HALO keretvilágítást és erős LED fényjelzést biztosít. Lehetőségünk van 3, 6, 9, 12 órás időzíthető némításra. Egy nyomógombhoz több csengő, illetve egy csengőhöz több nyomógomb is csatlakoztatható. 
A nyomógomb IP55-ös védettséggel rendelkezik. A csengő ápellátása hálózatról történik: 230 V / 50 Hz, a nyomódomb tápellátását 1 x CR2032 (3V) elem biztosítja. Válassza a minőségi termékeket és rendeljen webáruházunkból.</t>
        </is>
      </c>
    </row>
    <row r="1807">
      <c r="A1807" s="3" t="inlineStr">
        <is>
          <t>DB 442</t>
        </is>
      </c>
      <c r="B1807" s="2" t="inlineStr">
        <is>
          <t>Home DB 442 vezeték nélküli csengő, 100m hatótáv, 4 nyomógombbal bővíthető, memória, beépített 13A hálózati aljzat, 230V-os tápellátás</t>
        </is>
      </c>
      <c r="C1807" s="1" t="n">
        <v>13090.0</v>
      </c>
      <c r="D1807" s="7" t="n">
        <f>HYPERLINK("https://www.somogyi.hu/product/home-db-442-vezetek-nelkuli-csengo-100m-hatotav-4-nyomogombbal-bovitheto-memoria-beepitett-13a-halozati-aljzat-230v-os-tapellatas-db-442-14169","https://www.somogyi.hu/product/home-db-442-vezetek-nelkuli-csengo-100m-hatotav-4-nyomogombbal-bovitheto-memoria-beepitett-13a-halozati-aljzat-230v-os-tapellatas-db-442-14169")</f>
        <v>0.0</v>
      </c>
      <c r="E1807" s="7" t="n">
        <f>HYPERLINK("https://www.somogyi.hu/data/img/product_main_images/small/14169.jpg","https://www.somogyi.hu/data/img/product_main_images/small/14169.jpg")</f>
        <v>0.0</v>
      </c>
      <c r="F1807" s="2" t="inlineStr">
        <is>
          <t>5999084922177</t>
        </is>
      </c>
      <c r="G1807" s="4" t="inlineStr">
        <is>
          <t>Masszívan kialakított csengő vásárlását tervezi? Ez esetben a DB 442 a legideálisabb az Ön számára.
Nyílt terepen 100 m hatótávolsággal rendelkező vezeték nélküli csengő, amely akár 4 db nyomógombbal is használható. Áramkimaradás esetén a beállítások megmaradnak. 
A csengő hangerő-szabályozóval lett ellátva. A terméke előnye továbbá, hogy beépített hálózati aljzattal rendelkezik más készülékek számára. Tápellátása: nyomógomb CR2032 (3 V) elem, beltéri egység 230 V~ / 50 Hz.
Válassza a minőségi termékeket és rendeljen webáruházunkból.</t>
        </is>
      </c>
    </row>
    <row r="1808">
      <c r="A1808" s="3" t="inlineStr">
        <is>
          <t>DB 1000AC</t>
        </is>
      </c>
      <c r="B1808" s="2" t="inlineStr">
        <is>
          <t>Home DB 1000AC vezeték nélküli csengő, 100m hatótáv, 38 dallam, 4 fokozatú hangerő, kék LED gyűrű, néma mód, 230V-os tápellátás</t>
        </is>
      </c>
      <c r="C1808" s="1" t="n">
        <v>6690.0</v>
      </c>
      <c r="D1808" s="7" t="n">
        <f>HYPERLINK("https://www.somogyi.hu/product/home-db-1000ac-vezetek-nelkuli-csengo-100m-hatotav-38-dallam-4-fokozatu-hangero-kek-led-gyuru-nema-mod-230v-os-tapellatas-db-1000ac-17130","https://www.somogyi.hu/product/home-db-1000ac-vezetek-nelkuli-csengo-100m-hatotav-38-dallam-4-fokozatu-hangero-kek-led-gyuru-nema-mod-230v-os-tapellatas-db-1000ac-17130")</f>
        <v>0.0</v>
      </c>
      <c r="E1808" s="7" t="n">
        <f>HYPERLINK("https://www.somogyi.hu/data/img/product_main_images/small/17130.jpg","https://www.somogyi.hu/data/img/product_main_images/small/17130.jpg")</f>
        <v>0.0</v>
      </c>
      <c r="F1808" s="2" t="inlineStr">
        <is>
          <t>5999084951627</t>
        </is>
      </c>
      <c r="G1808" s="4" t="inlineStr">
        <is>
          <t>DB 1000AC vezeték nélküli csengő szett egy rendkívül elegáns, minimalista stílusú nyomógomból és csengőből áll. A beltéri egység hálózatról üzemeltethető, így könnyen áthelyezhető műhelybe, nyári konyhába, garázsba, hogy biztosan hallható legyen a csengetés. 36 klasszikus, többszólamú dallam közül lehet csengőhangot kiválasztani, a hangerő pedig 4 fokozatban állítható. A csengetést a beltéri egységen villogó kék LED gyűrű is kíséri, míg néma üzemmódban aktív fényjelzés. A készülék hatótávolsága nyílt terepen 100 méter. Nem csupán erősen zavarvédett más csengőktől, hanem áramszünet esetén a beépített memória megőrzi a csengőhangot. Szükség esetén akár további 4 nyomógomb is párosítható a csengővel (több szett vásárlása esetén). A nyomógomb víz bejutása ellen tömített, 1 darab CR2032 (3 V) elemmel működik, mely tartozéka a csomagnak.</t>
        </is>
      </c>
    </row>
    <row r="1809">
      <c r="A1809" s="3" t="inlineStr">
        <is>
          <t>DC515N</t>
        </is>
      </c>
      <c r="B1809" s="2" t="inlineStr">
        <is>
          <t>Honeywell Home DC515N vezeték nélküli csengő, 150m hatótáv, 9 dallam, időzíthető némítás, LED fényjelzés, többcsatornás, elemes tápellátás</t>
        </is>
      </c>
      <c r="C1809" s="1" t="n">
        <v>19390.0</v>
      </c>
      <c r="D1809" s="7" t="n">
        <f>HYPERLINK("https://www.somogyi.hu/product/honeywell-home-dc515n-vezetek-nelkuli-csengo-150m-hatotav-9-dallam-idozitheto-nemitas-led-fenyjelzes-tobbcsatornas-elemes-tapellatas-dc515n-17296","https://www.somogyi.hu/product/honeywell-home-dc515n-vezetek-nelkuli-csengo-150m-hatotav-9-dallam-idozitheto-nemitas-led-fenyjelzes-tobbcsatornas-elemes-tapellatas-dc515n-17296")</f>
        <v>0.0</v>
      </c>
      <c r="E1809" s="7" t="n">
        <f>HYPERLINK("https://www.somogyi.hu/data/img/product_main_images/small/17296.jpg","https://www.somogyi.hu/data/img/product_main_images/small/17296.jpg")</f>
        <v>0.0</v>
      </c>
      <c r="F1809" s="2" t="inlineStr">
        <is>
          <t>5004100965516</t>
        </is>
      </c>
      <c r="G1809" s="4" t="inlineStr">
        <is>
          <t>A Honeywell vezeték nélküli csengő ideális választás otthonába.
Hatótávolsága nyílt terepen maximum 150 m. A külső egység, a nyomógomb, víz ellen védett kivitelű, IP 55 védelemmel ellátott.
A csengetés hangját 9 dallamból tudjuk kiválasztani és tetszés szerint beállíthatjuk a kívánt hangerőt.
Előnye, hogy bővíthető, így egy nyomógombhoz több csengő, illetve egy csengőhöz több nyomógomb is csatlakoztatható.
A felhasználó 6 féle színből választhatja ki a diszkrét HALO fény keretvilágítását, amely LED jelzőfényt is kibocsájt a hangjelzéskor, így sötétedéskor is jól láthatóvá válik.</t>
        </is>
      </c>
    </row>
    <row r="1810">
      <c r="A1810" s="3" t="inlineStr">
        <is>
          <t>DBK 1000AC</t>
        </is>
      </c>
      <c r="B1810" s="2" t="inlineStr">
        <is>
          <t>Home DBK 1000AC vezeték nélküli csengő, elem nélküli, 100m hatótáv, 20 dallam, 3-fokozatú hangerő, kék LED, kinetikus nyomógomb, 230V-os tápellátás</t>
        </is>
      </c>
      <c r="C1810" s="1" t="n">
        <v>10190.0</v>
      </c>
      <c r="D1810" s="7" t="n">
        <f>HYPERLINK("https://www.somogyi.hu/product/home-dbk-1000ac-vezetek-nelkuli-csengo-elem-nelkuli-100m-hatotav-20-dallam-3-fokozatu-hangero-kek-led-kinetikus-nyomogomb-230v-os-tapellatas-dbk-1000ac-16425","https://www.somogyi.hu/product/home-dbk-1000ac-vezetek-nelkuli-csengo-elem-nelkuli-100m-hatotav-20-dallam-3-fokozatu-hangero-kek-led-kinetikus-nyomogomb-230v-os-tapellatas-dbk-1000ac-16425")</f>
        <v>0.0</v>
      </c>
      <c r="E1810" s="7" t="n">
        <f>HYPERLINK("https://www.somogyi.hu/data/img/product_main_images/small/16425.jpg","https://www.somogyi.hu/data/img/product_main_images/small/16425.jpg")</f>
        <v>0.0</v>
      </c>
      <c r="F1810" s="2" t="inlineStr">
        <is>
          <t>5999084944575</t>
        </is>
      </c>
      <c r="G1810" s="4" t="inlineStr">
        <is>
          <t>A DBK 1000 AC Vezeték és elem nélküli csengő ideális választás otthonába, ha megbízható készüléket szeretne. Erősen zavarvédett más csengőktől. 
A beltéri egység 230 V-ról üzemeltethető. A kék LED visszajelző fény nagy hangerőn kikapcsolható.
A külső egység kinetikus energiával működik, a kapcsoló megnyomásakor keletkező energia segít a jelzés leadásában a beltéri egység felé, így hidegben is precíz működést biztosít. 36 csengetési dallam közül választhatja ki az ideálist. 
Egyedi kódolású tanuló funkciója által 20 db nyomógomb vagy csengő párosítható össze (több szett vásárlása esetén). 
A vezeték és elem nélküli csengő maximum 100 m hatótávolságon működik nyílt terepen.</t>
        </is>
      </c>
    </row>
    <row r="1811">
      <c r="A1811" s="3" t="inlineStr">
        <is>
          <t>DB 1601DC</t>
        </is>
      </c>
      <c r="B1811" s="2" t="inlineStr">
        <is>
          <t>Home DB 1601DC vezeték nélküli csengő, 160m hatótáv, 60 dallam, 3-fokozatú hangerő és némítás, kapcsolható fényjelzés, elemes tápellátás</t>
        </is>
      </c>
      <c r="C1811" s="1" t="n">
        <v>5490.0</v>
      </c>
      <c r="D1811" s="7" t="n">
        <f>HYPERLINK("https://www.somogyi.hu/product/home-db-1601dc-vezetek-nelkuli-csengo-160m-hatotav-60-dallam-3-fokozatu-hangero-es-nemitas-kapcsolhato-fenyjelzes-elemes-tapellatas-db-1601dc-18251","https://www.somogyi.hu/product/home-db-1601dc-vezetek-nelkuli-csengo-160m-hatotav-60-dallam-3-fokozatu-hangero-es-nemitas-kapcsolhato-fenyjelzes-elemes-tapellatas-db-1601dc-18251")</f>
        <v>0.0</v>
      </c>
      <c r="E1811" s="7" t="n">
        <f>HYPERLINK("https://www.somogyi.hu/data/img/product_main_images/small/18251.jpg","https://www.somogyi.hu/data/img/product_main_images/small/18251.jpg")</f>
        <v>0.0</v>
      </c>
      <c r="F1811" s="2" t="inlineStr">
        <is>
          <t>5999084962739</t>
        </is>
      </c>
      <c r="G1811" s="4" t="inlineStr">
        <is>
          <t>A Home DB 1601DC vezeték nélküli csengő kiváló választás, ha megbízható, könnyen kezelhető és egyszerűen telepíthető csengőre van szüksége. Akár 160 méteres hatótávolságával garantálja, hogy sosem marad le egyetlen látogatóról sem, még nagyobb otthonokban vagy kertekben sem.
Ez a csengő 60 különböző dallammal rendelkezik, melyek között klasszikus és modern melódiák egyaránt megtalálhatók, mindegyik gazdag, többszólamú hangzással. A hangerő szabályozható három fokozatban, és van némító funkció is, így a csendes időszakokban sem zavar senkit. Ilyenkor a jelzésről a külön kapcsolható fényjelzés gondoskodik.
A csengő és a nyomógomb is elegáns, kompakt kialakítású. A nyomógombhoz szükséges CR2032-es elemet a csomag tartalmazza, a csengő működéséhez szükséges 3 AA elemet azonban nem. Telepítse a Home DB 1601DC csengőt, hogy egyetlen látogatója jelzéséről se maradjon le.</t>
        </is>
      </c>
    </row>
    <row r="1812">
      <c r="A1812" s="3" t="inlineStr">
        <is>
          <t>DB 0630DC</t>
        </is>
      </c>
      <c r="B1812" s="2" t="inlineStr">
        <is>
          <t>Home DB 0630DC vezeték nélküli csengő, 60m hatótáv, 32 dallam, LED fényjelzés, elemes tápellátás</t>
        </is>
      </c>
      <c r="C1812" s="1" t="n">
        <v>3590.0</v>
      </c>
      <c r="D1812" s="7" t="n">
        <f>HYPERLINK("https://www.somogyi.hu/product/home-db-0630dc-vezetek-nelkuli-csengo-60m-hatotav-32-dallam-led-fenyjelzes-elemes-tapellatas-db-0630dc-17059","https://www.somogyi.hu/product/home-db-0630dc-vezetek-nelkuli-csengo-60m-hatotav-32-dallam-led-fenyjelzes-elemes-tapellatas-db-0630dc-17059")</f>
        <v>0.0</v>
      </c>
      <c r="E1812" s="7" t="n">
        <f>HYPERLINK("https://www.somogyi.hu/data/img/product_main_images/small/17059.jpg","https://www.somogyi.hu/data/img/product_main_images/small/17059.jpg")</f>
        <v>0.0</v>
      </c>
      <c r="F1812" s="2" t="inlineStr">
        <is>
          <t>5999084950910</t>
        </is>
      </c>
      <c r="G1812" s="4" t="inlineStr">
        <is>
          <t>A DB 0630 DC Vezeték nélküli csengő ideális választás otthonában.
A beltéri egység 2 db 1,5 V (AA) elemmel üzemeltethető, mely nem tartozék. 32 választható dallammal jelez.
A külső egység tápellátásához 1 db 12 V (LR23A) elem szükséges, melyet a csomag tartalmaz.
A vezeték nélküli csengő maximum 60 m hatótávolságon működik nyílt terepen.</t>
        </is>
      </c>
    </row>
    <row r="1813">
      <c r="A1813" s="3" t="inlineStr">
        <is>
          <t>DB 1031AC</t>
        </is>
      </c>
      <c r="B1813" s="2" t="inlineStr">
        <is>
          <t>Home DB 1031AC vezeték nélküli csengő, 100m hatótáv, 3-fokozatú hangerő, 36 dallam, 8 párosítható nyomógomb, zavarvédett, 230V-os tápellátás</t>
        </is>
      </c>
      <c r="C1813" s="1" t="n">
        <v>5790.0</v>
      </c>
      <c r="D1813" s="7" t="n">
        <f>HYPERLINK("https://www.somogyi.hu/product/home-db-1031ac-vezetek-nelkuli-csengo-100m-hatotav-3-fokozatu-hangero-36-dallam-8-parosithato-nyomogomb-zavarvedett-230v-os-tapellatas-db-1031ac-17078","https://www.somogyi.hu/product/home-db-1031ac-vezetek-nelkuli-csengo-100m-hatotav-3-fokozatu-hangero-36-dallam-8-parosithato-nyomogomb-zavarvedett-230v-os-tapellatas-db-1031ac-17078")</f>
        <v>0.0</v>
      </c>
      <c r="E1813" s="7" t="n">
        <f>HYPERLINK("https://www.somogyi.hu/data/img/product_main_images/small/17078.jpg","https://www.somogyi.hu/data/img/product_main_images/small/17078.jpg")</f>
        <v>0.0</v>
      </c>
      <c r="F1813" s="2" t="inlineStr">
        <is>
          <t>5999084951108</t>
        </is>
      </c>
      <c r="G1813" s="4" t="inlineStr">
        <is>
          <t>A DB 1031 AC Vezeték nélküli csengő ideális választás otthonában. Egyedi kódolású tanuló funkciója által egyszerre akár 8 db nyomógomb is hozzá rendelhető (több szett vásárlása esetén).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814">
      <c r="A1814" s="3" t="inlineStr">
        <is>
          <t>DBK 1401AC</t>
        </is>
      </c>
      <c r="B1814" s="2" t="inlineStr">
        <is>
          <t>Home DBK 1401AC vezeték nélküli csengő, 140 m hatótávolság, IP44, állítható hangerő, 4 nyomógomb lehetőség</t>
        </is>
      </c>
      <c r="C1814" s="1" t="n">
        <v>8690.0</v>
      </c>
      <c r="D1814" s="7" t="n">
        <f>HYPERLINK("https://www.somogyi.hu/product/home-dbk-1401ac-vezetek-nelkuli-csengo-140-m-hatotavolsag-ip44-allithato-hangero-4-nyomogomb-lehetoseg-dbk-1401ac-18307","https://www.somogyi.hu/product/home-dbk-1401ac-vezetek-nelkuli-csengo-140-m-hatotavolsag-ip44-allithato-hangero-4-nyomogomb-lehetoseg-dbk-1401ac-18307")</f>
        <v>0.0</v>
      </c>
      <c r="E1814" s="7" t="n">
        <f>HYPERLINK("https://www.somogyi.hu/data/img/product_main_images/small/18307.jpg","https://www.somogyi.hu/data/img/product_main_images/small/18307.jpg")</f>
        <v>0.0</v>
      </c>
      <c r="F1814" s="2" t="inlineStr">
        <is>
          <t>5999084963293</t>
        </is>
      </c>
      <c r="G1814" s="4" t="inlineStr">
        <is>
          <t>Egy olyan csengőt keres, ami hideg időben is megbízhatóan működik és sosem igényel elemcserét? A Home DBK 1401AC vezeték nélküli csengő a megoldás. Ez a csengő 36 klasszikus dallammal és többszólamú, kellemes hangzással teszi otthonát még inkább vendégbaráttá. Négy fokozatban állítható hangerővel rendelkezik, továbbá csendes fényjelzést is biztosít, ami különösen hasznos lehet kisgyermekes családok számára.
A csengő két alapvető funkciója a hang és fényjelzés, valamint csak fényjelzés. Rendelkezik továbbá egy kikapcsolható, automatikusan működő melegfényű éjszakai irányfénnyel, fényérzékelővel. A csengő prémium kivitelű textil előlappal büszkélkedhet, és víznek ellenálló nyomógombbal (IP44) érkezik. A gomb kinetikus energiával működik, így elemcserére nincs szükség. Hatótávolsága nyílt terepen akár 140 méter is lehet, zavarvédett kialakítása pedig garantálja, hogy más csengők jelei ne zavarják.
Legyen szó akár egy késő esti látogatásról vagy nappali családi összejövetelről, a Home DBK 1401AC vezeték nélküli csengő tökéletes választás az Ön otthonába, eleganciát és kényelmet biztosítva minden vendég számára. Fedezze fel a kényelmet, amit ez a modern, vezeték nélküli csengő nyújthat, és tegye otthonát még kényelmesebbé.</t>
        </is>
      </c>
    </row>
    <row r="1815">
      <c r="A1815" s="3" t="inlineStr">
        <is>
          <t>DC515EG</t>
        </is>
      </c>
      <c r="B1815" s="2" t="inlineStr">
        <is>
          <t>Honeywell vezeték nélküli csengő, elemes, 150 m</t>
        </is>
      </c>
      <c r="C1815" s="1" t="n">
        <v>14990.0</v>
      </c>
      <c r="D1815" s="7" t="n">
        <f>HYPERLINK("https://www.somogyi.hu/product/honeywell-vezetek-nelkuli-csengo-elemes-150-m-dc515eg-15761","https://www.somogyi.hu/product/honeywell-vezetek-nelkuli-csengo-elemes-150-m-dc515eg-15761")</f>
        <v>0.0</v>
      </c>
      <c r="E1815" s="7" t="n">
        <f>HYPERLINK("https://www.somogyi.hu/data/img/product_main_images/small/15761.jpg","https://www.somogyi.hu/data/img/product_main_images/small/15761.jpg")</f>
        <v>0.0</v>
      </c>
      <c r="F1815" s="2" t="inlineStr">
        <is>
          <t>5004100967923</t>
        </is>
      </c>
      <c r="G1815" s="4" t="inlineStr">
        <is>
          <t>Egy megbízható csengőt keres?  Ez esetben a legjobb helyen jár! A DC515EG egy 150 m hatótávolságú, 84 dB hangerővel rendelkező vezeték nélküli csengő. 6 dallam közül választhatjuk ki a beállítani kívánt jelzőhangot. Diszkrét HALO keretfénnyel és erős LED fényjelzéssel rendelkezik. Egy nyomógombhoz több csengő, illetve egy csengőhöz több nyomógomb is csatlakoztatható. Lehetőségünk van 3, 6, 9, 12 órás időzíthető némításra.
A nyomógomb IP55-ös védettséggel rendelkezik. Tápellátása: csengő 3 x AA (LR6) 1,5 V elem; nyomógomb 1 X CR2032 3 V elem. Válassza a minőségi termékeket és rendeljen webáruházunkból.</t>
        </is>
      </c>
    </row>
    <row r="1816">
      <c r="A1816" s="3" t="inlineStr">
        <is>
          <t>DC915NG</t>
        </is>
      </c>
      <c r="B1816" s="2" t="inlineStr">
        <is>
          <t>Honeywell Home DC915NG vezeték nélküli csengő, 200m hatótáv, 11 dallam, időzíthető némítás, LED jelzőfény, állítható hangerő, elemes tápellátás</t>
        </is>
      </c>
      <c r="C1816" s="1" t="n">
        <v>23190.0</v>
      </c>
      <c r="D1816" s="7" t="n">
        <f>HYPERLINK("https://www.somogyi.hu/product/honeywell-home-dc915ng-vezetek-nelkuli-csengo-200m-hatotav-11-dallam-idozitheto-nemitas-led-jelzofeny-allithato-hangero-elemes-tapellatas-dc915ng-17299","https://www.somogyi.hu/product/honeywell-home-dc915ng-vezetek-nelkuli-csengo-200m-hatotav-11-dallam-idozitheto-nemitas-led-jelzofeny-allithato-hangero-elemes-tapellatas-dc915ng-17299")</f>
        <v>0.0</v>
      </c>
      <c r="E1816" s="7" t="n">
        <f>HYPERLINK("https://www.somogyi.hu/data/img/product_main_images/small/17299.jpg","https://www.somogyi.hu/data/img/product_main_images/small/17299.jpg")</f>
        <v>0.0</v>
      </c>
      <c r="F1816" s="2" t="inlineStr">
        <is>
          <t>5004100965622</t>
        </is>
      </c>
      <c r="G1816"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11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817">
      <c r="A1817" s="3" t="inlineStr">
        <is>
          <t>DB 1001DC</t>
        </is>
      </c>
      <c r="B1817" s="2" t="inlineStr">
        <is>
          <t>Home DB 1001DC vezeték nélküli csengő, 100m hatótáv, 8 dallam, kék fényjelzés, 256 digitális kód, elemes kivitel, IP 44 védett nyomógomb</t>
        </is>
      </c>
      <c r="C1817" s="1" t="n">
        <v>7290.0</v>
      </c>
      <c r="D1817" s="7" t="n">
        <f>HYPERLINK("https://www.somogyi.hu/product/home-db-1001dc-vezetek-nelkuli-csengo-100m-hatotav-8-dallam-kek-fenyjelzes-256-digitalis-kod-elemes-kivitel-ip-44-vedett-nyomogomb-db-1001dc-15867","https://www.somogyi.hu/product/home-db-1001dc-vezetek-nelkuli-csengo-100m-hatotav-8-dallam-kek-fenyjelzes-256-digitalis-kod-elemes-kivitel-ip-44-vedett-nyomogomb-db-1001dc-15867")</f>
        <v>0.0</v>
      </c>
      <c r="E1817" s="7" t="n">
        <f>HYPERLINK("https://www.somogyi.hu/data/img/product_main_images/small/15867.jpg","https://www.somogyi.hu/data/img/product_main_images/small/15867.jpg")</f>
        <v>0.0</v>
      </c>
      <c r="F1817" s="2" t="inlineStr">
        <is>
          <t>5999084939014</t>
        </is>
      </c>
      <c r="G1817" s="4" t="inlineStr">
        <is>
          <t>A DB 1001 DC Vezeték nélküli csengő ideális választás otthonában, de akár személyhívónak is használható. Erősen zavarvédett más csengőktől.
A beltéri egység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818">
      <c r="A1818" s="3" t="inlineStr">
        <is>
          <t>DBS 1501AC</t>
        </is>
      </c>
      <c r="B1818" s="2" t="inlineStr">
        <is>
          <t>Home DBS 1501AC vezeték nélküli csengőszett, 150m hatótáv, 36 dallam, többszólamú hang, 4 fokozatú hangerő, kék LED, 230V-os tápellátás</t>
        </is>
      </c>
      <c r="C1818" s="1" t="n">
        <v>11290.0</v>
      </c>
      <c r="D1818" s="7" t="n">
        <f>HYPERLINK("https://www.somogyi.hu/product/home-dbs-1501ac-vezetek-nelkuli-csengoszett-150m-hatotav-36-dallam-tobbszolamu-hang-4-fokozatu-hangero-kek-led-230v-os-tapellatas-dbs-1501ac-15841","https://www.somogyi.hu/product/home-dbs-1501ac-vezetek-nelkuli-csengoszett-150m-hatotav-36-dallam-tobbszolamu-hang-4-fokozatu-hangero-kek-led-230v-os-tapellatas-dbs-1501ac-15841")</f>
        <v>0.0</v>
      </c>
      <c r="E1818" s="7" t="n">
        <f>HYPERLINK("https://www.somogyi.hu/data/img/product_main_images/small/15841.jpg","https://www.somogyi.hu/data/img/product_main_images/small/15841.jpg")</f>
        <v>0.0</v>
      </c>
      <c r="F1818" s="2" t="inlineStr">
        <is>
          <t>5999084938758</t>
        </is>
      </c>
      <c r="G1818" s="4" t="inlineStr">
        <is>
          <t>Cserélje le a régi csengőjét egy újra! A DBS 1501AC egy 150 m hatótávolságú vezeték nélküli csengő szett, mely két csengőt tartalmaz. 36 dallam közül választhatjuk ki a beállítani kívánt jelzőhangot, a csengő többszólamú, kellemes hangzást biztosít. Hangereje 4 fokozatban állítható, kék LED visszajelzői csengetéskor villognak. Egyedileg kódolható, 4 nyomógomb párosítható egy csengővel (több szett megvásárlása esetén) . Erősen zavarvédett más csengőktől! Áramkimaradás esetén a nyomógomb párosítását megőrzi. 
Tápellátása: csengők: 230 V / 50Hz / 0,3 W; nyomógomb: 23 A (12 V) elem. Válassza a minőségi termékeket és rendeljen webáruházunkból.</t>
        </is>
      </c>
    </row>
    <row r="1819">
      <c r="A1819" s="6" t="inlineStr">
        <is>
          <t xml:space="preserve">   Lakáskiegészítő / Időjárás-állomás, hőmérő</t>
        </is>
      </c>
      <c r="B1819" s="6" t="inlineStr">
        <is>
          <t/>
        </is>
      </c>
      <c r="C1819" s="6" t="inlineStr">
        <is>
          <t/>
        </is>
      </c>
      <c r="D1819" s="6" t="inlineStr">
        <is>
          <t/>
        </is>
      </c>
      <c r="E1819" s="6" t="inlineStr">
        <is>
          <t/>
        </is>
      </c>
      <c r="F1819" s="6" t="inlineStr">
        <is>
          <t/>
        </is>
      </c>
      <c r="G1819" s="6" t="inlineStr">
        <is>
          <t/>
        </is>
      </c>
    </row>
    <row r="1820">
      <c r="A1820" s="3" t="inlineStr">
        <is>
          <t>HC 13</t>
        </is>
      </c>
      <c r="B1820" s="2" t="inlineStr">
        <is>
          <t>Home HC 13 hő- és páratartalom-mérő ébresztőórával, beltéri hőmérséklet kijelzése, ébresztés szundifunkcióval</t>
        </is>
      </c>
      <c r="C1820" s="1" t="n">
        <v>4590.0</v>
      </c>
      <c r="D1820" s="7" t="n">
        <f>HYPERLINK("https://www.somogyi.hu/product/home-hc-13-ho-es-paratartalom-mero-ebresztooraval-belteri-homerseklet-kijelzese-ebresztes-szundifunkcioval-hc-13-12203","https://www.somogyi.hu/product/home-hc-13-ho-es-paratartalom-mero-ebresztooraval-belteri-homerseklet-kijelzese-ebresztes-szundifunkcioval-hc-13-12203")</f>
        <v>0.0</v>
      </c>
      <c r="E1820" s="7" t="n">
        <f>HYPERLINK("https://www.somogyi.hu/data/img/product_main_images/small/12203.jpg","https://www.somogyi.hu/data/img/product_main_images/small/12203.jpg")</f>
        <v>0.0</v>
      </c>
      <c r="F1820" s="2" t="inlineStr">
        <is>
          <t>5999084903855</t>
        </is>
      </c>
      <c r="G1820" s="4" t="inlineStr">
        <is>
          <t>Praktikus hőmérő, amely egyaránt alkalmas a beltéri hőmérséklet és páratartalom kijelzésére. A termék előnye, hogy ébresztőként is használható (szundi funkció). Elhelyezése könnyen megoldható: akasztható falra vagy helyezhető asztallapra. A termék tápellátása: 2 X 1,5 V (AAA) elem. Válassza a minőségi termékeket és rendeljen webáruházunkból.</t>
        </is>
      </c>
    </row>
    <row r="1821">
      <c r="A1821" s="3" t="inlineStr">
        <is>
          <t>HC 11</t>
        </is>
      </c>
      <c r="B1821" s="2" t="inlineStr">
        <is>
          <t>Home HC 11 vezeték nélküli külső-belső hőmérő ébresztőórával, 60 m hatótávolság, külső jeladó kezelése, maximum és minimum értékek kijelzése</t>
        </is>
      </c>
      <c r="C1821" s="1" t="n">
        <v>7990.0</v>
      </c>
      <c r="D1821" s="7" t="n">
        <f>HYPERLINK("https://www.somogyi.hu/product/home-hc-11-vezetek-nelkuli-kulso-belso-homero-ebresztooraval-60-m-hatotavolsag-kulso-jelado-kezelese-maximum-es-minimum-ertekek-kijelzese-hc-11-12201","https://www.somogyi.hu/product/home-hc-11-vezetek-nelkuli-kulso-belso-homero-ebresztooraval-60-m-hatotavolsag-kulso-jelado-kezelese-maximum-es-minimum-ertekek-kijelzese-hc-11-12201")</f>
        <v>0.0</v>
      </c>
      <c r="E1821" s="7" t="n">
        <f>HYPERLINK("https://www.somogyi.hu/data/img/product_main_images/small/12201.jpg","https://www.somogyi.hu/data/img/product_main_images/small/12201.jpg")</f>
        <v>0.0</v>
      </c>
      <c r="F1821" s="2" t="inlineStr">
        <is>
          <t>5999084903831</t>
        </is>
      </c>
      <c r="G1821" s="4" t="inlineStr">
        <is>
          <t>A HC 11 egy igazán professzionális 60 m hatótávolsággal rendelkező vezeték nélküli hőmérő. A készülék jelzi a külső hőmérsékletet, amely egy külső jeladón keresztül történik. Könnyen elhelyezhető, akár falon vagy asztallapon. A termék tápellátása: 4 X 1, 5 V (AAA) elem. Válassza a minőségi termékeket és rendeljen webáruházunkból.</t>
        </is>
      </c>
    </row>
    <row r="1822">
      <c r="A1822" s="3" t="inlineStr">
        <is>
          <t>HCW 01</t>
        </is>
      </c>
      <c r="B1822" s="2" t="inlineStr">
        <is>
          <t>Home HCW 01 időjárás-állomás külső jeladóval, várható időjárás-szimbólumok, ébresztés szundi funkcióval, maximum és minimum értékek kijelzése</t>
        </is>
      </c>
      <c r="C1822" s="1" t="n">
        <v>10690.0</v>
      </c>
      <c r="D1822" s="7" t="n">
        <f>HYPERLINK("https://www.somogyi.hu/product/home-hcw-01-idojaras-allomas-kulso-jeladoval-varhato-idojaras-szimbolumok-ebresztes-szundi-funkcioval-maximum-es-minimum-ertekek-kijelzese-hcw-01-17547","https://www.somogyi.hu/product/home-hcw-01-idojaras-allomas-kulso-jeladoval-varhato-idojaras-szimbolumok-ebresztes-szundi-funkcioval-maximum-es-minimum-ertekek-kijelzese-hcw-01-17547")</f>
        <v>0.0</v>
      </c>
      <c r="E1822" s="7" t="n">
        <f>HYPERLINK("https://www.somogyi.hu/data/img/product_main_images/small/17547.jpg","https://www.somogyi.hu/data/img/product_main_images/small/17547.jpg")</f>
        <v>0.0</v>
      </c>
      <c r="F1822" s="2" t="inlineStr">
        <is>
          <t>5999084955694</t>
        </is>
      </c>
      <c r="G1822" s="4" t="inlineStr">
        <is>
          <t>HCW 01 Időjárás állomás 1 db külső jeladóval ellátott, melyet további 2 db HCKK 10 külső jeladóval lehet még tovább bővíteni. A külső jeladó a külső hőmérsékletért és páratartalomért felelős, melyet maximum 60 m hatótávolságban (nyílt terepen) célszerű elhelyezni a belső egységtől. 
A várható időjárást szimbólumokkal jelzi, valamint méri a külső/ belső hőmérsékletet és páratartalmat.
Az időjárás állomás a pontos időt is mutatja, valamint ébresztő funkció is beállítható rajta, így nem szükséges a szobába másik óra. 
Ha pontos adatokat szeretne tudni a várható és jelenlegi időjárásról, páratartalomról és holdfázisról, akkor a HCW 01 Időjárás- állomás lesz a legjobb választás.</t>
        </is>
      </c>
    </row>
    <row r="1823">
      <c r="A1823" s="3" t="inlineStr">
        <is>
          <t>HC 12</t>
        </is>
      </c>
      <c r="B1823" s="2" t="inlineStr">
        <is>
          <t>Home HC 12 vezetékes külső-belső hőmérő órával, bel- és kültéri hőmérséklet kijelzése, vezetékes hőmérő szonda, 12/24 órás időformátum, dátum</t>
        </is>
      </c>
      <c r="C1823" s="1" t="n">
        <v>4590.0</v>
      </c>
      <c r="D1823" s="7" t="n">
        <f>HYPERLINK("https://www.somogyi.hu/product/home-hc-12-vezetekes-kulso-belso-homero-oraval-bel-es-kulteri-homerseklet-kijelzese-vezetekes-homero-szonda-12-24-oras-idoformatum-datum-hc-12-12202","https://www.somogyi.hu/product/home-hc-12-vezetekes-kulso-belso-homero-oraval-bel-es-kulteri-homerseklet-kijelzese-vezetekes-homero-szonda-12-24-oras-idoformatum-datum-hc-12-12202")</f>
        <v>0.0</v>
      </c>
      <c r="E1823" s="7" t="n">
        <f>HYPERLINK("https://www.somogyi.hu/data/img/product_main_images/small/12202.jpg","https://www.somogyi.hu/data/img/product_main_images/small/12202.jpg")</f>
        <v>0.0</v>
      </c>
      <c r="F1823" s="2" t="inlineStr">
        <is>
          <t>5999084903848</t>
        </is>
      </c>
      <c r="G1823" s="4" t="inlineStr">
        <is>
          <t>Praktikus hőmérő, amely egyaránt alkalmas a beltéri és kültéri hőmérséklet jelzésére. 1,4 m-es vezetékes hőmérő szondával ellátott. A termék előnye, hogy óraként is funkcionál (12/24 órás időformátum, dátum). Elhelyezése könnyen megoldható: akasztható falra vagy helyezhető asztallapra. A termék tápellátása: 2 X 1,5 V (AAA) elem. Válassza a minőségi termékeket és rendeljen webáruházunkból.</t>
        </is>
      </c>
    </row>
    <row r="1824">
      <c r="A1824" s="3" t="inlineStr">
        <is>
          <t>HC 16</t>
        </is>
      </c>
      <c r="B1824" s="2" t="inlineStr">
        <is>
          <t>Home HC 16  hő és páratartalom-mérő, beltéri hőmérséklet és páratartalom maximum és minimum értékeinek kijelzése</t>
        </is>
      </c>
      <c r="C1824" s="1" t="n">
        <v>4290.0</v>
      </c>
      <c r="D1824" s="7" t="n">
        <f>HYPERLINK("https://www.somogyi.hu/product/home-hc-16-ho-es-paratartalom-mero-belteri-homerseklet-es-paratartalom-maximum-es-minimum-ertekeinek-kijelzese-hc-16-17562","https://www.somogyi.hu/product/home-hc-16-ho-es-paratartalom-mero-belteri-homerseklet-es-paratartalom-maximum-es-minimum-ertekeinek-kijelzese-hc-16-17562")</f>
        <v>0.0</v>
      </c>
      <c r="E1824" s="7" t="n">
        <f>HYPERLINK("https://www.somogyi.hu/data/img/product_main_images/small/17562.jpg","https://www.somogyi.hu/data/img/product_main_images/small/17562.jpg")</f>
        <v>0.0</v>
      </c>
      <c r="F1824" s="2" t="inlineStr">
        <is>
          <t>5999084955847</t>
        </is>
      </c>
      <c r="G1824" s="4" t="inlineStr">
        <is>
          <t>Van már olyan eszköze, amely képes otthonának kényelmét azonnal javítani azáltal, hogy részletesen tájékoztat a beltéri környezetről? A Home HC 16 hő- és páratartalom-mérő pontosan ezt kínálja, segítve Önt abban, hogy mindig tökéletes legyen a lakás klímája.
Ez a praktikus készülék nem csupán a beltéri hőmérsékletet (-10 - +50 °C között) és a relatív páratartalmat (17%-99%) méri, de a maximum és minimum értékeket is rögzíti, így könnyedén nyomon követheti a napi ingadozásokat. A beépített óra 12 vagy 24 órás formátumban, a nap dátumával és a hét napjával együtt jeleníti meg az információkat, így mindig kéznél van minden fontos adat.
Kialakításának köszönhetően a Home HC 16 hőmérő falra akasztható vagy asztallapra helyezhető, így Ön döntheti el, hogy hol szeretné használni otthonában. A működéséhez szükséges 2 x 1,5 V (AAA) elemmel üzemeltetett készülék kompakt mérete (9,2 x 8 x 2,5 cm) lehetővé teszi, hogy diszkréten illeszkedjen bármilyen helyiségbe.
Tegye otthonát még komfortosabbá a Home HC 16 hő- és páratartalom-mérővel, amely segít optimalizálni a lakótér klímáját a nap minden órájában. Ne várjon tovább, szerezze be ezt a hasznos kis segítőt, és élvezze az egészséges, kellemes otthoni környezet előnyeit nap mint nap!</t>
        </is>
      </c>
    </row>
    <row r="1825">
      <c r="A1825" s="3" t="inlineStr">
        <is>
          <t>HCKK 09</t>
        </is>
      </c>
      <c r="B1825" s="2" t="inlineStr">
        <is>
          <t>Home HCKK 09 külső jeladó HCW 28 időjárás-állomáshoz, ülső hőmérséklet jeladó, 60 m hatótávolság, LCD kijelző</t>
        </is>
      </c>
      <c r="C1825" s="1" t="n">
        <v>3090.0</v>
      </c>
      <c r="D1825" s="7" t="n">
        <f>HYPERLINK("https://www.somogyi.hu/product/home-hckk-09-kulso-jelado-hcw-28-idojaras-allomashoz-ulso-homerseklet-jelado-60-m-hatotavolsag-lcd-kijelzo-hckk-09-16920","https://www.somogyi.hu/product/home-hckk-09-kulso-jelado-hcw-28-idojaras-allomashoz-ulso-homerseklet-jelado-60-m-hatotavolsag-lcd-kijelzo-hckk-09-16920")</f>
        <v>0.0</v>
      </c>
      <c r="E1825" s="7" t="n">
        <f>HYPERLINK("https://www.somogyi.hu/data/img/product_main_images/small/16920.jpg","https://www.somogyi.hu/data/img/product_main_images/small/16920.jpg")</f>
        <v>0.0</v>
      </c>
      <c r="F1825" s="2" t="inlineStr">
        <is>
          <t>5999084949525</t>
        </is>
      </c>
      <c r="G1825" s="4" t="inlineStr">
        <is>
          <t>A HCKK 09 külső jeladó csak a HCW 28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28 időjárás-állomáshoz.
A terméken LCD kijelző található, melyről könnyen leolvashatóak a kültéren mért adatok: hőmérséklet (°C-ban vagy °F-ben), illetve a relatív páratartalom (RH). A készülék tápellátása 2 x 1,5 V (AAA) elem, mely nem tartozék. A külső jeladó kompakt méretű, 60 x 96 x 26 (50) mm.</t>
        </is>
      </c>
    </row>
    <row r="1826">
      <c r="A1826" s="3" t="inlineStr">
        <is>
          <t>HCKK 10</t>
        </is>
      </c>
      <c r="B1826" s="2" t="inlineStr">
        <is>
          <t>Home HCKK 10 külső jeladó HCW 01 időjárás-állomáshoz, külső hőmérséklet és páratartalom jeladó, 80 m hatótávolság, kiválasztható 3 csatorna</t>
        </is>
      </c>
      <c r="C1826" s="1" t="n">
        <v>3090.0</v>
      </c>
      <c r="D1826" s="7" t="n">
        <f>HYPERLINK("https://www.somogyi.hu/product/home-hckk-10-kulso-jelado-hcw-01-idojaras-allomashoz-kulso-homerseklet-es-paratartalom-jelado-80-m-hatotavolsag-kivalaszthato-3-csatorna-hckk-10-17546","https://www.somogyi.hu/product/home-hckk-10-kulso-jelado-hcw-01-idojaras-allomashoz-kulso-homerseklet-es-paratartalom-jelado-80-m-hatotavolsag-kivalaszthato-3-csatorna-hckk-10-17546")</f>
        <v>0.0</v>
      </c>
      <c r="E1826" s="7" t="n">
        <f>HYPERLINK("https://www.somogyi.hu/data/img/product_main_images/small/17546.jpg","https://www.somogyi.hu/data/img/product_main_images/small/17546.jpg")</f>
        <v>0.0</v>
      </c>
      <c r="F1826" s="2" t="inlineStr">
        <is>
          <t>5999084955687</t>
        </is>
      </c>
      <c r="G1826" s="4" t="inlineStr">
        <is>
          <t>A HCKK 10 külső jeladó csak a HCW 01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01 időjárás-állomáshoz. A külső jeladó kompakt méretű, 38 x 100 x 22 mm.</t>
        </is>
      </c>
    </row>
    <row r="1827">
      <c r="A1827" s="3" t="inlineStr">
        <is>
          <t>HCKK 08</t>
        </is>
      </c>
      <c r="B1827" s="2" t="inlineStr">
        <is>
          <t>Home HCKK 08 külső jeladó HCW 25 időjárás-állomáshoz, külső hőmérséklet és páratartalom jeladó, kiválasztható 3 csatorna, 60 m hatótávolság</t>
        </is>
      </c>
      <c r="C1827" s="1" t="n">
        <v>3090.0</v>
      </c>
      <c r="D1827" s="7" t="n">
        <f>HYPERLINK("https://www.somogyi.hu/product/home-hckk-08-kulso-jelado-hcw-25-idojaras-allomashoz-kulso-homerseklet-es-paratartalom-jelado-kivalaszthato-3-csatorna-60-m-hatotavolsag-hckk-08-16309","https://www.somogyi.hu/product/home-hckk-08-kulso-jelado-hcw-25-idojaras-allomashoz-kulso-homerseklet-es-paratartalom-jelado-kivalaszthato-3-csatorna-60-m-hatotavolsag-hckk-08-16309")</f>
        <v>0.0</v>
      </c>
      <c r="E1827" s="7" t="n">
        <f>HYPERLINK("https://www.somogyi.hu/data/img/product_main_images/small/16309.jpg","https://www.somogyi.hu/data/img/product_main_images/small/16309.jpg")</f>
        <v>0.0</v>
      </c>
      <c r="F1827" s="2" t="inlineStr">
        <is>
          <t>5999084943417</t>
        </is>
      </c>
      <c r="G1827" s="4" t="inlineStr">
        <is>
          <t>A HCKK 08 Külső jeladó a HCW 25 időjárás állomáshoz alkalmas. A külső jeladót nyílt terepen 60 m hatótávolságban célszerű elhelyezni a belső egységtől. 3 csatorna közül tud választani. Falra akasztható vagy asztallapra helyezhető kivitelben készült. 
Tápellátásához 2 db 1,5 V (AAA) elem szükséges, melyet a csomag nem tartalmaz.</t>
        </is>
      </c>
    </row>
    <row r="1828">
      <c r="A1828" s="3" t="inlineStr">
        <is>
          <t>HCKK 04</t>
        </is>
      </c>
      <c r="B1828" s="2" t="inlineStr">
        <is>
          <t>Home HCKK 04 külső jeladó HCW 21 és HCW 26 időjárás-állomásokhoz, 60 m hatótávolság, külső hőmérséklet és páratartalom-jeladó, LCD kijelző</t>
        </is>
      </c>
      <c r="C1828" s="1" t="n">
        <v>3090.0</v>
      </c>
      <c r="D1828" s="7" t="n">
        <f>HYPERLINK("https://www.somogyi.hu/product/home-hckk-04-kulso-jelado-hcw-21-es-hcw-26-idojaras-allomasokhoz-60-m-hatotavolsag-kulso-homerseklet-es-paratartalom-jelado-lcd-kijelzo-hckk-04-12025","https://www.somogyi.hu/product/home-hckk-04-kulso-jelado-hcw-21-es-hcw-26-idojaras-allomasokhoz-60-m-hatotavolsag-kulso-homerseklet-es-paratartalom-jelado-lcd-kijelzo-hckk-04-12025")</f>
        <v>0.0</v>
      </c>
      <c r="E1828" s="7" t="n">
        <f>HYPERLINK("https://www.somogyi.hu/data/img/product_main_images/small/12025.jpg","https://www.somogyi.hu/data/img/product_main_images/small/12025.jpg")</f>
        <v>0.0</v>
      </c>
      <c r="F1828" s="2" t="inlineStr">
        <is>
          <t>5999084902377</t>
        </is>
      </c>
      <c r="G1828" s="4" t="inlineStr">
        <is>
          <t>A HCKK 04 külső jeladó kifejezetten a HCW 21 időjárás-állomáshoz ajánlott. A HCW 21 összesen 3 db külső jeladót tud kezelni, amelyek információt küldenek a külső hőmérsékletről. Válassza a minőségi termékeket és rendeljen webáruházunkból.</t>
        </is>
      </c>
    </row>
    <row r="1829">
      <c r="A1829" s="3" t="inlineStr">
        <is>
          <t>HCW 25</t>
        </is>
      </c>
      <c r="B1829" s="2" t="inlineStr">
        <is>
          <t>Home HCW 25 időjárás-állomás külső jeladóval, negatív, fehér LCD kijelző, beltéri hőmérséklet és páratartalom, digitális óra, naptár</t>
        </is>
      </c>
      <c r="C1829" s="1" t="n">
        <v>23490.0</v>
      </c>
      <c r="D1829" s="7" t="n">
        <f>HYPERLINK("https://www.somogyi.hu/product/home-hcw-25-idojaras-allomas-kulso-jeladoval-negativ-feher-lcd-kijelzo-belteri-homerseklet-es-paratartalom-digitalis-ora-naptar-hcw-25-16264","https://www.somogyi.hu/product/home-hcw-25-idojaras-allomas-kulso-jeladoval-negativ-feher-lcd-kijelzo-belteri-homerseklet-es-paratartalom-digitalis-ora-naptar-hcw-25-16264")</f>
        <v>0.0</v>
      </c>
      <c r="E1829" s="7" t="n">
        <f>HYPERLINK("https://www.somogyi.hu/data/img/product_main_images/small/16264.jpg","https://www.somogyi.hu/data/img/product_main_images/small/16264.jpg")</f>
        <v>0.0</v>
      </c>
      <c r="F1829" s="2" t="inlineStr">
        <is>
          <t>5999084942960</t>
        </is>
      </c>
      <c r="G1829" s="4" t="inlineStr">
        <is>
          <t>A HCW 25 Időjárás állomás külső jeladóval ellátott, melyet további két HCKK 08 típusú jeladóval lehet még tovább bővíteni. A külső jeladó a külső hőmérséklet és páratartalom méréseiért felelős, melyet 60 m hatótávolságban (nyílt terepen) célszerű elhelyezni a belső egységtől. 
A várható időjárást szimbólumokkal jelzi, valamint méri a külső/ belső hőmérsékletet és páratartalmat. Az időjárás állomás nagyméretű LCD kijelzőjén jól látható az aktuális idő, dátum, időjárás, várható időjárást. Állítson be külső és belső hőmérséklet határértéket és a készülék jelzést fog adni Önnek, ha kilép a tartományból. 
Az időjárás állomást a hozzá tartozó hálózati adapterrel vagy 3 db 1,5 V (AA) elemmel működtetheti. 
A külső jeladó üzemeltetése 2 db 1,5 V (AAA) elemmel történik. Az elemeket nem tartalmazza a csomag.</t>
        </is>
      </c>
    </row>
    <row r="1830">
      <c r="A1830" s="6" t="inlineStr">
        <is>
          <t xml:space="preserve">   Lakáskiegészítő / Óra</t>
        </is>
      </c>
      <c r="B1830" s="6" t="inlineStr">
        <is>
          <t/>
        </is>
      </c>
      <c r="C1830" s="6" t="inlineStr">
        <is>
          <t/>
        </is>
      </c>
      <c r="D1830" s="6" t="inlineStr">
        <is>
          <t/>
        </is>
      </c>
      <c r="E1830" s="6" t="inlineStr">
        <is>
          <t/>
        </is>
      </c>
      <c r="F1830" s="6" t="inlineStr">
        <is>
          <t/>
        </is>
      </c>
      <c r="G1830" s="6" t="inlineStr">
        <is>
          <t/>
        </is>
      </c>
    </row>
    <row r="1831">
      <c r="A1831" s="3" t="inlineStr">
        <is>
          <t>LTCP 01</t>
        </is>
      </c>
      <c r="B1831" s="2" t="inlineStr">
        <is>
          <t>Home LTCP 01 digitális, LED ébresztőóra projektorral, 24 órás folyamatos időkivetítés, háromféle fényerősség, elemes vagy hálózati tápellátás</t>
        </is>
      </c>
      <c r="C1831" s="1" t="n">
        <v>13390.0</v>
      </c>
      <c r="D1831" s="7" t="n">
        <f>HYPERLINK("https://www.somogyi.hu/product/home-ltcp-01-digitalis-led-ebresztoora-projektorral-24-oras-folyamatos-idokivetites-haromfele-fenyerosseg-elemes-vagy-halozati-tapellatas-ltcp-01-15898","https://www.somogyi.hu/product/home-ltcp-01-digitalis-led-ebresztoora-projektorral-24-oras-folyamatos-idokivetites-haromfele-fenyerosseg-elemes-vagy-halozati-tapellatas-ltcp-01-15898")</f>
        <v>0.0</v>
      </c>
      <c r="E1831" s="7" t="n">
        <f>HYPERLINK("https://www.somogyi.hu/data/img/product_main_images/small/15898.jpg","https://www.somogyi.hu/data/img/product_main_images/small/15898.jpg")</f>
        <v>0.0</v>
      </c>
      <c r="F1831" s="2" t="inlineStr">
        <is>
          <t>5999084939328</t>
        </is>
      </c>
      <c r="G1831" s="4" t="inlineStr">
        <is>
          <t>Az LTCP 01 Digitális LED ébresztőóra projektorral ellátott, amely a falra kivetíti az időt, hogy éjszaka csak a szemét kelljen kinyitni, hogy megnézze hány óra. A LED projektor adapter segítségével folyamatosan üzemeltethető, így bárhová elhelyezheti a készüléket. A 45 mm magas LED kijelzőjén rendkívül jól láthatóak a számok messziről is. Áramszünet esetén sem kell újra beállítani az időt, ha a készülékbe helyez 2 db 1,5 V (AAA) elemet.
Az ébresztést bip-bip hanggal végzi, melyet 8 percenként ismételtethet. Egy napon belül akár 2 ébresztési időpontot is beállíthat. 
Tápellátása 230 V-ról történik. 
Ha régi órája elromlott, akkor válassza az LTCP 01 digitális ébresztőóránkat, mely hosszú élettartamot garantál.</t>
        </is>
      </c>
    </row>
    <row r="1832">
      <c r="A1832" s="3" t="inlineStr">
        <is>
          <t>OC 04</t>
        </is>
      </c>
      <c r="B1832" s="2" t="inlineStr">
        <is>
          <t>Home OC 04 digitális LED ébresztőóra, valódi faburkolat, tapsra aktiválható fehér kijelző, dátum és hőmérséklet kijelzés, elemes vagy hálózati tápellátás</t>
        </is>
      </c>
      <c r="C1832" s="1" t="n">
        <v>11490.0</v>
      </c>
      <c r="D1832" s="7" t="n">
        <f>HYPERLINK("https://www.somogyi.hu/product/home-oc-04-digitalis-led-ebresztoora-valodi-faburkolat-tapsra-aktivalhato-feher-kijelzo-datum-es-homerseklet-kijelzes-elemes-vagy-halozati-tapellatas-oc-04-15737","https://www.somogyi.hu/product/home-oc-04-digitalis-led-ebresztoora-valodi-faburkolat-tapsra-aktivalhato-feher-kijelzo-datum-es-homerseklet-kijelzes-elemes-vagy-halozati-tapellatas-oc-04-15737")</f>
        <v>0.0</v>
      </c>
      <c r="E1832" s="7" t="n">
        <f>HYPERLINK("https://www.somogyi.hu/data/img/product_main_images/small/15737.jpg","https://www.somogyi.hu/data/img/product_main_images/small/15737.jpg")</f>
        <v>0.0</v>
      </c>
      <c r="F1832" s="2" t="inlineStr">
        <is>
          <t>5999084937713</t>
        </is>
      </c>
      <c r="G1832" s="4" t="inlineStr">
        <is>
          <t>Ön is kedveli a praktikus, de egyben stílusos kiegészítőket otthonában? Ez esetben az OC 04 digitális, LED ébresztőóra a kedvence lesz. Az ébresztőóra elegáns, kifejezetten dizájnos valódi faburkolattal rendelkezik, ami nagyon jól mutat a lakásban.
A készüléken egy fehér LED kijelző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33">
      <c r="A1833" s="3" t="inlineStr">
        <is>
          <t>LTC 04</t>
        </is>
      </c>
      <c r="B1833" s="2" t="inlineStr">
        <is>
          <t xml:space="preserve">Home LTC 04 digitális, 3D LED ébresztőóra, 80 mm magas fehér kijelző, kitűnően leolvasható, háromféle fényerősség, </t>
        </is>
      </c>
      <c r="C1833" s="1" t="n">
        <v>10390.0</v>
      </c>
      <c r="D1833" s="7" t="n">
        <f>HYPERLINK("https://www.somogyi.hu/product/home-ltc-04-digitalis-3d-led-ebresztoora-80-mm-magas-feher-kijelzo-kitunoen-leolvashato-haromfele-fenyerosseg-ltc-04-15917","https://www.somogyi.hu/product/home-ltc-04-digitalis-3d-led-ebresztoora-80-mm-magas-feher-kijelzo-kitunoen-leolvashato-haromfele-fenyerosseg-ltc-04-15917")</f>
        <v>0.0</v>
      </c>
      <c r="E1833" s="7" t="n">
        <f>HYPERLINK("https://www.somogyi.hu/data/img/product_main_images/small/15917.jpg","https://www.somogyi.hu/data/img/product_main_images/small/15917.jpg")</f>
        <v>0.0</v>
      </c>
      <c r="F1833" s="2" t="inlineStr">
        <is>
          <t>5999084939519</t>
        </is>
      </c>
      <c r="G1833" s="4" t="inlineStr">
        <is>
          <t>Az LTC 04 Digitális 3D LED ébresztőóra igazán modern kialakítású, így a lakás bármely pontján jól fog mutatni. A hatalmas 3D LED számok fehér fénnyel világítanak, aminek fényerejét pedig 3 féle fényerősség közül választhatja ki. 
Az ébresztést 2 perces bip-bip hanggal jelzi, melyet 5-60 perces időintervallumban ismételtethet.   
Áramszünet esetén sem kell újra beállítani az időt, mivel a készülékben 1 db 3 V (CR2032) elem található.
Tápellátásához a hozzá tartozó USB hálózati adapter és az 1,8 m USB kábel szükséges. 
Helyezze asztalra vagy falra a digitális 3D LED ébresztő órát, mindenhol tökéletesen fog látszódni.</t>
        </is>
      </c>
    </row>
    <row r="1834">
      <c r="A1834" s="3" t="inlineStr">
        <is>
          <t>OC 05</t>
        </is>
      </c>
      <c r="B1834" s="2" t="inlineStr">
        <is>
          <t>Home OC 05 digitális LED ébresztőóra, valódi faburkolat, tapsra aktiválható kijelző, dátum és hőmérséklet kijelzés, elemes vagy hálózati tápellátás</t>
        </is>
      </c>
      <c r="C1834" s="1" t="n">
        <v>12190.0</v>
      </c>
      <c r="D1834" s="7" t="n">
        <f>HYPERLINK("https://www.somogyi.hu/product/home-oc-05-digitalis-led-ebresztoora-valodi-faburkolat-tapsra-aktivalhato-kijelzo-datum-es-homerseklet-kijelzes-elemes-vagy-halozati-tapellatas-oc-05-15738","https://www.somogyi.hu/product/home-oc-05-digitalis-led-ebresztoora-valodi-faburkolat-tapsra-aktivalhato-kijelzo-datum-es-homerseklet-kijelzes-elemes-vagy-halozati-tapellatas-oc-05-15738")</f>
        <v>0.0</v>
      </c>
      <c r="E1834" s="7" t="n">
        <f>HYPERLINK("https://www.somogyi.hu/data/img/product_main_images/small/15738.jpg","https://www.somogyi.hu/data/img/product_main_images/small/15738.jpg")</f>
        <v>0.0</v>
      </c>
      <c r="F1834" s="2" t="inlineStr">
        <is>
          <t>5999084937720</t>
        </is>
      </c>
      <c r="G1834" s="4" t="inlineStr">
        <is>
          <t>Ön is kedveli a praktikus, de egyben stílusos kiegészítőket otthonában? Ez esetben az OC 05 digitális, LED ébresztőóra a kedvence lesz. Az ébresztőóra elegáns, kifejezetten dizájnos valódi faburkolattal rendelkezik, ami nagyon jól mutat a lakásban.
A LED kijelző kiválóan leolvasható. A készülék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35">
      <c r="A1835" s="3" t="inlineStr">
        <is>
          <t>LTC 02</t>
        </is>
      </c>
      <c r="B1835" s="2" t="inlineStr">
        <is>
          <t>Home LTC 02 digitális LED ébresztőóra, 46 mm magas időkijelzés, állítható fényerő, ébresztés sípolással, szundifunkcióval, elemes vagy hálózati tápellátás</t>
        </is>
      </c>
      <c r="C1835" s="1" t="n">
        <v>10890.0</v>
      </c>
      <c r="D1835" s="7" t="n">
        <f>HYPERLINK("https://www.somogyi.hu/product/home-ltc-02-digitalis-led-ebresztoora-46-mm-magas-idokijelzes-allithato-fenyero-ebresztes-sipolassal-szundifunkcioval-elemes-vagy-halozati-tapellatas-ltc-02-9623","https://www.somogyi.hu/product/home-ltc-02-digitalis-led-ebresztoora-46-mm-magas-idokijelzes-allithato-fenyero-ebresztes-sipolassal-szundifunkcioval-elemes-vagy-halozati-tapellatas-ltc-02-9623")</f>
        <v>0.0</v>
      </c>
      <c r="E1835" s="7" t="n">
        <f>HYPERLINK("https://www.somogyi.hu/data/img/product_main_images/small/09623.jpg","https://www.somogyi.hu/data/img/product_main_images/small/09623.jpg")</f>
        <v>0.0</v>
      </c>
      <c r="F1835" s="2" t="inlineStr">
        <is>
          <t>5998312783696</t>
        </is>
      </c>
      <c r="G1835" s="4" t="inlineStr">
        <is>
          <t>Ébredjen reggelente egy digitális ébresztőóra jelzésére! Az ébresztőóra 1,8” állítható fényerejű kijelzőn mutatja 24 órás időformátumban az időt.
Az ébresztés hangjelzése sípolás és szundi funkció is rendelkezésre áll. A termék tápellátása: 230 V~ / 50 Hz / 4 W. Mérete: 210 X 85 X 85 mm. Válassza a minőségi termékeket és rendeljen webáruházunkból.</t>
        </is>
      </c>
    </row>
    <row r="1836">
      <c r="A1836" s="3" t="inlineStr">
        <is>
          <t>LTCR 05</t>
        </is>
      </c>
      <c r="B1836" s="2" t="inlineStr">
        <is>
          <t>Digitális LED ébresztőóra rádióval</t>
        </is>
      </c>
      <c r="C1836" s="1" t="n">
        <v>16190.0</v>
      </c>
      <c r="D1836" s="7" t="n">
        <f>HYPERLINK("https://www.somogyi.hu/product/digitalis-led-ebresztoora-radioval-ltcr-05-17084","https://www.somogyi.hu/product/digitalis-led-ebresztoora-radioval-ltcr-05-17084")</f>
        <v>0.0</v>
      </c>
      <c r="E1836" s="7" t="n">
        <f>HYPERLINK("https://www.somogyi.hu/data/img/product_main_images/small/17084.jpg","https://www.somogyi.hu/data/img/product_main_images/small/17084.jpg")</f>
        <v>0.0</v>
      </c>
      <c r="F1836" s="2" t="inlineStr">
        <is>
          <t>5999084951160</t>
        </is>
      </c>
      <c r="G1836" s="4" t="inlineStr">
        <is>
          <t>Az LTCR 05 Digitális LED ébresztőóra állítható fényerejű, nagyméretű kijelzővel ellátott, így rendkívül jól láthatóak a számok messziről is. Az ébresztőórán egy napon belül akár 2 ébresztési időpontot is beállíthat. Az ébresztést bip-bip hanggal vagy rádióműsorral végzi, melyet 5 percenként ismételtethet. 20 FM rádióállomást képes a memóriájában tárolni. További extra előnyei, hogy a belső hőmérsékletet mutatja és USB aljzattal rendelkezik a telefon gyorstöltéséhez. 
Áramszünet esetén sem kell újra beállítani az időt, ha a készülékbe helyez CR2032 (3V) elemet. Tápellátása 230 V-ról történik. 
Ha régi órája elromlott, akkor válassza az LTCR 05 digitális ébresztőóránkat, mely hosszú élettartamot garantál.</t>
        </is>
      </c>
    </row>
    <row r="1837">
      <c r="A1837" s="3" t="inlineStr">
        <is>
          <t>LTC 05</t>
        </is>
      </c>
      <c r="B1837" s="2" t="inlineStr">
        <is>
          <t>Home LTC 05 digitális, 3D LED ébresztőóra, 128 mm magas fehér kijelző, kitűnően leolvasható, háromféle fényerősség, idő, dátum és hőmérséklet-kijelzés</t>
        </is>
      </c>
      <c r="C1837" s="1" t="n">
        <v>15590.0</v>
      </c>
      <c r="D1837" s="7" t="n">
        <f>HYPERLINK("https://www.somogyi.hu/product/home-ltc-05-digitalis-3d-led-ebresztoora-128-mm-magas-feher-kijelzo-kitunoen-leolvashato-haromfele-fenyerosseg-ido-datum-es-homerseklet-kijelzes-ltc-05-17285","https://www.somogyi.hu/product/home-ltc-05-digitalis-3d-led-ebresztoora-128-mm-magas-feher-kijelzo-kitunoen-leolvashato-haromfele-fenyerosseg-ido-datum-es-homerseklet-kijelzes-ltc-05-17285")</f>
        <v>0.0</v>
      </c>
      <c r="E1837" s="7" t="n">
        <f>HYPERLINK("https://www.somogyi.hu/data/img/product_main_images/small/17285.jpg","https://www.somogyi.hu/data/img/product_main_images/small/17285.jpg")</f>
        <v>0.0</v>
      </c>
      <c r="F1837" s="2" t="inlineStr">
        <is>
          <t>5999084953072</t>
        </is>
      </c>
      <c r="G1837" s="4" t="inlineStr">
        <is>
          <t>Az LTC 05 Digitális 3D LED ébresztőóra igazán modern kialakítású, így a lakás bármely pontján jól fog mutatni. A hatalmas 3D LED számok fehér fénnyel világítanak és akár 50 m távolságból is jól leolvashatóak.
A környezeti fényviszonyokhoz automatikusan alkalmazkodik a fényereje, de éjszakára akár ki is kapcsolhatja a távirányító segítségével, hogy ne zavarja a pihenésben. Számos hasznos funkciója van, mint a hőmérséklet kijelzés, stopper óra és visszaszámláló időzítő, valamint 2 ébresztési időpont beállítható rajta. Az óra minden funkciója távirányítóval kényelmesen állítható. 
Áramszünet esetén sem kell újra beállítani az időt, mivel a készülékben 1 db 3 V (CR2032) elem található.
Tápellátásához a hozzá tartozó USB hálózati adapter és az 5 m USB kábel szükséges. 
Helyezze asztalra vagy falra a digitális 3D LED ébresztő órát, mindenhol tökéletesen fog mutatni.</t>
        </is>
      </c>
    </row>
    <row r="1838">
      <c r="A1838" s="3" t="inlineStr">
        <is>
          <t>LTCR 02</t>
        </is>
      </c>
      <c r="B1838" s="2" t="inlineStr">
        <is>
          <t>Home LTCR 02 digitális, LED ébresztőóra rádióval, borostyánsárga kijelző, 10 állomás memória, ébresztés, elemes vagy hálózati tápellátás</t>
        </is>
      </c>
      <c r="C1838" s="1" t="n">
        <v>11890.0</v>
      </c>
      <c r="D1838" s="7" t="n">
        <f>HYPERLINK("https://www.somogyi.hu/product/home-ltcr-02-digitalis-led-ebresztoora-radioval-borostyansarga-kijelzo-10-allomas-memoria-ebresztes-elemes-vagy-halozati-tapellatas-ltcr-02-15899","https://www.somogyi.hu/product/home-ltcr-02-digitalis-led-ebresztoora-radioval-borostyansarga-kijelzo-10-allomas-memoria-ebresztes-elemes-vagy-halozati-tapellatas-ltcr-02-15899")</f>
        <v>0.0</v>
      </c>
      <c r="E1838" s="7" t="n">
        <f>HYPERLINK("https://www.somogyi.hu/data/img/product_main_images/small/15899.jpg","https://www.somogyi.hu/data/img/product_main_images/small/15899.jpg")</f>
        <v>0.0</v>
      </c>
      <c r="F1838" s="2" t="inlineStr">
        <is>
          <t>5999084939335</t>
        </is>
      </c>
      <c r="G1838" s="4" t="inlineStr">
        <is>
          <t>Az LTCR 02 Digitális ébresztőóra 30 mm magas LED kijelzőjén rendkívül jól láthatóak a számok messziről is. Fényerejét 3 féle fényerő közül választhatja ki. Áramszünet esetén sem kell újra beállítani az időt, ha a készülékbe helyez 2 db 1,5 V (AAA) elemet. 
Az ébresztést bip-bip hanggal vagy rádióműsorral végzi, melyet 8 percenként ismételtethet. Egy napon belül akár 2 ébresztési időpontot is beállíthat. 10 FM rádióállomást képes a memóriájában tárolni. 
Tápellátása 230 V-ról történik. 
Ha régi órája elromlott, akkor válassza az LTCR 02 digitális ébresztőóránkat, mely hosszú élettartamot garantál.</t>
        </is>
      </c>
    </row>
    <row r="1839">
      <c r="A1839" s="3" t="inlineStr">
        <is>
          <t>LTC 03</t>
        </is>
      </c>
      <c r="B1839" s="2" t="inlineStr">
        <is>
          <t>Home LTC 03 digitális LED ébresztőóra, borostyánsárga kijelző, ébresztés visszajelzés, 8 perces ébresztésismétlés-funkció, elemes vagy hálózati tápellátás</t>
        </is>
      </c>
      <c r="C1839" s="1" t="n">
        <v>8890.0</v>
      </c>
      <c r="D1839" s="7" t="n">
        <f>HYPERLINK("https://www.somogyi.hu/product/home-ltc-03-digitalis-led-ebresztoora-borostyansarga-kijelzo-ebresztes-visszajelzes-8-perces-ebresztesismetles-funkcio-elemes-vagy-halozati-tapellatas-ltc-03-15897","https://www.somogyi.hu/product/home-ltc-03-digitalis-led-ebresztoora-borostyansarga-kijelzo-ebresztes-visszajelzes-8-perces-ebresztesismetles-funkcio-elemes-vagy-halozati-tapellatas-ltc-03-15897")</f>
        <v>0.0</v>
      </c>
      <c r="E1839" s="7" t="n">
        <f>HYPERLINK("https://www.somogyi.hu/data/img/product_main_images/small/15897.jpg","https://www.somogyi.hu/data/img/product_main_images/small/15897.jpg")</f>
        <v>0.0</v>
      </c>
      <c r="F1839" s="2" t="inlineStr">
        <is>
          <t>5999084939311</t>
        </is>
      </c>
      <c r="G1839" s="4" t="inlineStr">
        <is>
          <t>Az LTC 03 Digitális LED ébresztő óra nagy kijelzőjén rendkívül jól láthatóak a számok messziről is. Áramszünet esetén sem kell újra beállítani az időt, ha a készülékbe helyez 1 db 9 V (6LR61) elemet. 
Az ébresztést bip-bip hanggal végzi, melyet 8 percenként ismételtethet. 
Tápellátása 230 V-ról történik. 
Ha régi órája elromlott, akkor válassza az LTC 03 digitális ébresztőóránkat, mely hosszú élettartamot garantál.</t>
        </is>
      </c>
    </row>
    <row r="1840">
      <c r="A1840" s="3" t="inlineStr">
        <is>
          <t>OC 07</t>
        </is>
      </c>
      <c r="B1840" s="2" t="inlineStr">
        <is>
          <t>Home OC 07 digitális LED ébresztőóra, tapsra aktiválható fehér kijelző, dátum és hőmérséklet kijelzés, ébresztés, elemes tápellátás</t>
        </is>
      </c>
      <c r="C1840" s="1" t="n">
        <v>11490.0</v>
      </c>
      <c r="D1840" s="7" t="n">
        <f>HYPERLINK("https://www.somogyi.hu/product/home-oc-07-digitalis-led-ebresztoora-tapsra-aktivalhato-feher-kijelzo-datum-es-homerseklet-kijelzes-ebresztes-elemes-tapellatas-oc-07-17036","https://www.somogyi.hu/product/home-oc-07-digitalis-led-ebresztoora-tapsra-aktivalhato-feher-kijelzo-datum-es-homerseklet-kijelzes-ebresztes-elemes-tapellatas-oc-07-17036")</f>
        <v>0.0</v>
      </c>
      <c r="E1840" s="7" t="n">
        <f>HYPERLINK("https://www.somogyi.hu/data/img/product_main_images/small/17036.jpg","https://www.somogyi.hu/data/img/product_main_images/small/17036.jpg")</f>
        <v>0.0</v>
      </c>
      <c r="F1840" s="2" t="inlineStr">
        <is>
          <t>5999084950682</t>
        </is>
      </c>
      <c r="G1840" s="4" t="inlineStr">
        <is>
          <t>Digitális LED ébresztőóra egy tökéletes megoldás az elalvás ellen! Megbízható, egyidejűleg három ébresztési időpontot képes tárolni és ébresztés 1 perces bip-bip hangjelzéssel történik.
Letisztult kivitelezésének köszönhetően bármely stílusú, berendezésű lakáshoz illik.
Az óra fehér színű LED fénye távolról is kiválóan leolvasható, s ha esetleg éjjel zavarná a kijelző erős világítása, bármikor kikapcsolható.
A kijelző újra aktiválása egyetlen tapsolással, vagy az óra mellé történő koppintással aktiválható.
Beállítható, tetszés szerint személyre szabható a dátum, idő, hőmérséklet kijelzési módok.</t>
        </is>
      </c>
    </row>
    <row r="1841">
      <c r="A1841" s="6" t="inlineStr">
        <is>
          <t xml:space="preserve">   Lakáskiegészítő / DVB-T vevő, DVB-C vevő</t>
        </is>
      </c>
      <c r="B1841" s="6" t="inlineStr">
        <is>
          <t/>
        </is>
      </c>
      <c r="C1841" s="6" t="inlineStr">
        <is>
          <t/>
        </is>
      </c>
      <c r="D1841" s="6" t="inlineStr">
        <is>
          <t/>
        </is>
      </c>
      <c r="E1841" s="6" t="inlineStr">
        <is>
          <t/>
        </is>
      </c>
      <c r="F1841" s="6" t="inlineStr">
        <is>
          <t/>
        </is>
      </c>
      <c r="G1841" s="6" t="inlineStr">
        <is>
          <t/>
        </is>
      </c>
    </row>
    <row r="1842">
      <c r="A1842" s="3" t="inlineStr">
        <is>
          <t>HD2T2</t>
        </is>
      </c>
      <c r="B1842" s="2" t="inlineStr">
        <is>
          <t>Home HD2T2 DVB-T/T2 vevőkészülék, többnyelvű menü, EPG, multimédia fájlok, FullHD, HDMI, SCART, tartozék adapter</t>
        </is>
      </c>
      <c r="C1842" s="1" t="n">
        <v>11990.0</v>
      </c>
      <c r="D1842" s="7" t="n">
        <f>HYPERLINK("https://www.somogyi.hu/product/home-hd2t2-dvb-t-t2-vevokeszulek-tobbnyelvu-menu-epg-multimedia-fajlok-fullhd-hdmi-scart-tartozek-adapter-hd2t2-18336","https://www.somogyi.hu/product/home-hd2t2-dvb-t-t2-vevokeszulek-tobbnyelvu-menu-epg-multimedia-fajlok-fullhd-hdmi-scart-tartozek-adapter-hd2t2-18336")</f>
        <v>0.0</v>
      </c>
      <c r="E1842" s="7" t="n">
        <f>HYPERLINK("https://www.somogyi.hu/data/img/product_main_images/small/18336.jpg","https://www.somogyi.hu/data/img/product_main_images/small/18336.jpg")</f>
        <v>0.0</v>
      </c>
      <c r="F1842" s="2" t="inlineStr">
        <is>
          <t>5999084963545</t>
        </is>
      </c>
      <c r="G1842" s="4" t="inlineStr">
        <is>
          <t>Keres egy univerzális eszközt, amellyel kristálytiszta kép- és hangminőségben foghatja kedvenc adásait? A Home FZ 3 szobaantenna erősítővel tökéletes választás lehet, ha szélessávú TV és rádióvételre vágyik otthona kényelmében.
Ez a speciális szobaantenna nemcsak DVB-T és T2 jelű digitális földfelszíni televízió-műsorszórás vételére alkalmas, de beépített, szabályozható erősítőjének köszönhetően kiemelkedő vételi minőséget garantál akár 32 dB-ig. Az antenna 300 fokban elforgatható, így biztosíthatja, hogy mindig a legjobb lehetséges jelminőséget érje el. Ezenfelül a tápellátása egyszerű, mindössze egy standard 230V-os konnektort igényel, és már élvezheti is a zavartalan szórakozást. Méretei (átmérő: 230 mm, magasság talppal: 280 mm) lehetővé teszik, hogy diszkréten, szinte észrevétlenül elhelyezhesse otthonában.
Ne hagyja, hogy elmosódott képek és rossz vétel rontsa az élményt! Szerezze be a Home FZ 3 szobaantennát erősítővel, és engedje, hogy a kiváló minőségű szórakozás megelevenedjen nappalijában!</t>
        </is>
      </c>
    </row>
    <row r="1843">
      <c r="A1843" s="3" t="inlineStr">
        <is>
          <t>HD T2</t>
        </is>
      </c>
      <c r="B1843" s="2" t="inlineStr">
        <is>
          <t>Home HD T2 DVB-T/T2 vevőkészülék, szabadon fogható földfelszíni TV és rádióadások vételére, USB csatlakozó, 1920 x 1080P, multimédiás fájlok lejátszása</t>
        </is>
      </c>
      <c r="C1843" s="1" t="n">
        <v>11990.0</v>
      </c>
      <c r="D1843" s="7" t="n">
        <f>HYPERLINK("https://www.somogyi.hu/product/home-hd-t2-dvb-t-t2-vevokeszulek-szabadon-foghato-foldfelszini-tv-es-radioadasok-vetelere-usb-csatlakozo-1920-x-1080p-multimedias-fajlok-lejatszasa-hd-t2-16945","https://www.somogyi.hu/product/home-hd-t2-dvb-t-t2-vevokeszulek-szabadon-foghato-foldfelszini-tv-es-radioadasok-vetelere-usb-csatlakozo-1920-x-1080p-multimedias-fajlok-lejatszasa-hd-t2-16945")</f>
        <v>0.0</v>
      </c>
      <c r="E1843" s="7" t="n">
        <f>HYPERLINK("https://www.somogyi.hu/data/img/product_main_images/small/16945.jpg","https://www.somogyi.hu/data/img/product_main_images/small/16945.jpg")</f>
        <v>0.0</v>
      </c>
      <c r="F1843" s="2" t="inlineStr">
        <is>
          <t>5999084949778</t>
        </is>
      </c>
      <c r="G1843" s="4" t="inlineStr">
        <is>
          <t>A DVB-T/T2 vevőkészülék olyan nagyszerű termékünk, amely automatikus és kézi hangolással alkalmas a szabadon fogható földfelszíni TV és rádióadások vételére.
Magyar nyelvű menürendszer mellett, szlovák, román, angol nyelv is választató.
A készülékkel tudunk többféle formátumban háttértárról választható multimédiás fájlokat lejátszani - audio, video-, választhatunk csúsztatott műsornézést, s van módunk az elektronikus programújság megtekintésére.
Hozzáadhatjuk a kedvenc csatornánk listáját és a teletext-et. 
Széleskörű a képfelbontása.
A sokoldalú lehetőségekkel rendelkező készülék kellemesen kikapcsolódhat a kedvenc műsoraival.</t>
        </is>
      </c>
    </row>
    <row r="1844">
      <c r="A1844" s="6" t="inlineStr">
        <is>
          <t xml:space="preserve">   Lakáskiegészítő / Antenna, antennaerősítő</t>
        </is>
      </c>
      <c r="B1844" s="6" t="inlineStr">
        <is>
          <t/>
        </is>
      </c>
      <c r="C1844" s="6" t="inlineStr">
        <is>
          <t/>
        </is>
      </c>
      <c r="D1844" s="6" t="inlineStr">
        <is>
          <t/>
        </is>
      </c>
      <c r="E1844" s="6" t="inlineStr">
        <is>
          <t/>
        </is>
      </c>
      <c r="F1844" s="6" t="inlineStr">
        <is>
          <t/>
        </is>
      </c>
      <c r="G1844" s="6" t="inlineStr">
        <is>
          <t/>
        </is>
      </c>
    </row>
    <row r="1845">
      <c r="A1845" s="3" t="inlineStr">
        <is>
          <t>FZ 56</t>
        </is>
      </c>
      <c r="B1845" s="2" t="inlineStr">
        <is>
          <t>Home FZ 56 DVB-T/T2 kültéri antenna erősítővel, 56 dB, FM, VHF, UHF, rádió- és TV-adások vétele, hálózati adapteres tápellátás</t>
        </is>
      </c>
      <c r="C1845" s="1" t="n">
        <v>16990.0</v>
      </c>
      <c r="D1845" s="7" t="n">
        <f>HYPERLINK("https://www.somogyi.hu/product/home-fz-56-dvb-t-t2-kulteri-antenna-erositovel-56-db-fm-vhf-uhf-radio-es-tv-adasok-vetele-halozati-adapteres-tapellatas-fz-56-14215","https://www.somogyi.hu/product/home-fz-56-dvb-t-t2-kulteri-antenna-erositovel-56-db-fm-vhf-uhf-radio-es-tv-adasok-vetele-halozati-adapteres-tapellatas-fz-56-14215")</f>
        <v>0.0</v>
      </c>
      <c r="E1845" s="7" t="n">
        <f>HYPERLINK("https://www.somogyi.hu/data/img/product_main_images/small/14215.jpg","https://www.somogyi.hu/data/img/product_main_images/small/14215.jpg")</f>
        <v>0.0</v>
      </c>
      <c r="F1845" s="2" t="inlineStr">
        <is>
          <t>5999084922634</t>
        </is>
      </c>
      <c r="G1845" s="4" t="inlineStr">
        <is>
          <t>Szerelje fel otthonát egy minőségi antennával, hogy garantált legyen a tv nézési élmény! Az FZ 56 egy DVB-T/T2-es kültéri antenna, amely erősítő is egyben (max erősítés 56 dB). Kifejezetten ideális a TV és rádió adások vételére!
Az antenna 87,5-230 MHz, 470-862 MHz közötti frekvencia tartománnyal rendelkezik. A készülék egy beépített „F” csatlakozó aljzattal lett ellátva, valamint tartozik hozzá egy fali tartó és egy fém rögzítő bilincs. Tápellátása: 12 V DC hálózati adapter. Válassza a minőségi termékeket és rendeljen webáruházunkból!</t>
        </is>
      </c>
    </row>
    <row r="1846">
      <c r="A1846" s="3" t="inlineStr">
        <is>
          <t>FZ 53</t>
        </is>
      </c>
      <c r="B1846" s="2" t="inlineStr">
        <is>
          <t>Home FZ 53 DVB-T/T2 szobaantenna erősítővel, 3D formatervezés szövet mintázattal, 53 dB, rádió- és TV-adások vételére, koax kábeles tápellátás</t>
        </is>
      </c>
      <c r="C1846" s="1" t="n">
        <v>9190.0</v>
      </c>
      <c r="D1846" s="7" t="n">
        <f>HYPERLINK("https://www.somogyi.hu/product/home-fz-53-dvb-t-t2-szobaantenna-erositovel-3d-formatervezes-szovet-mintazattal-53-db-radio-es-tv-adasok-vetelere-koax-kabeles-tapellatas-fz-53-17707","https://www.somogyi.hu/product/home-fz-53-dvb-t-t2-szobaantenna-erositovel-3d-formatervezes-szovet-mintazattal-53-db-radio-es-tv-adasok-vetelere-koax-kabeles-tapellatas-fz-53-17707")</f>
        <v>0.0</v>
      </c>
      <c r="E1846" s="7" t="n">
        <f>HYPERLINK("https://www.somogyi.hu/data/img/product_main_images/small/17707.jpg","https://www.somogyi.hu/data/img/product_main_images/small/17707.jpg")</f>
        <v>0.0</v>
      </c>
      <c r="F1846" s="2" t="inlineStr">
        <is>
          <t>5999084957292</t>
        </is>
      </c>
      <c r="G1846" s="4" t="inlineStr">
        <is>
          <t>Szüksége van egy sokoldalú szobaantennára, amely kiváló vételi minőséget biztosít? A Home FZ 53 DVB-T/T2 szobaantenna kiváló választás, legyen szó akár rádió, akár TV adások fogadásáról. Tökéletesen alkalmazkodik mind az analóg, mind a digitális sugárzási formátumokhoz, így garantálva a kiváló vételi élményt.
A 3D formatervezés és az exkluzív szövet bevonat elegáns megjelenést kölcsönöz, amely illeszkedik minden modern enteriőrbe. A beépített kis zajú erősítő, mely akár 53 dB-ig is képes növelni a jel erősségét, biztosítja a kiemelkedő érzékenységet. Többféleképpen is elhelyezheti: vízszintesen vagy függőlegesen, bútorra vagy falra szerelve, így könnyedén illeszkedik otthona stílusához.
A koax kábeles csatlakozás lehetővé teszi, hogy közvetlenül a vevőkészülékre csatlakoztassa, de a tartozék USB hálózati adapter segítségével is táplálhatja. Méretei (300 x 100 x 30 mm) és kettős tápellátási lehetősége révén, a Home FZ 53 DVB-T/T2 szobaantenna tökéletes választás, ha megbízható és rugalmas antennát keres.
Ne várjon tovább, élvezze a kristálytiszta adásokat a Home FZ 53 DVB-T/T2 szobaantennával!</t>
        </is>
      </c>
    </row>
    <row r="1847">
      <c r="A1847" s="3" t="inlineStr">
        <is>
          <t>FZ 52</t>
        </is>
      </c>
      <c r="B1847" s="2" t="inlineStr">
        <is>
          <t>Home FZ 52 DVB-T/T2 szobaantenna erősítővel,  52 dB, FM, VHF, UHF, analóg és digitális jelek vétele, nagy érzékenység, hálózati adapteres tápellátás</t>
        </is>
      </c>
      <c r="C1847" s="1" t="n">
        <v>10690.0</v>
      </c>
      <c r="D1847" s="7" t="n">
        <f>HYPERLINK("https://www.somogyi.hu/product/home-fz-52-dvb-t-t2-szobaantenna-erositovel-52-db-fm-vhf-uhf-analog-es-digitalis-jelek-vetele-nagy-erzekenyseg-halozati-adapteres-tapellatas-fz-52-14214","https://www.somogyi.hu/product/home-fz-52-dvb-t-t2-szobaantenna-erositovel-52-db-fm-vhf-uhf-analog-es-digitalis-jelek-vetele-nagy-erzekenyseg-halozati-adapteres-tapellatas-fz-52-14214")</f>
        <v>0.0</v>
      </c>
      <c r="E1847" s="7" t="n">
        <f>HYPERLINK("https://www.somogyi.hu/data/img/product_main_images/small/14214.jpg","https://www.somogyi.hu/data/img/product_main_images/small/14214.jpg")</f>
        <v>0.0</v>
      </c>
      <c r="F1847" s="2" t="inlineStr">
        <is>
          <t>5999084922627</t>
        </is>
      </c>
      <c r="G1847" s="4" t="inlineStr">
        <is>
          <t>Válassza a legújabb technológiát és élvezze annak minden szolgáltatását! AZ FZ 52 egy papír vékonyságú, könnyű antenna, amely kiemelkedően nagy érzékenységgel rendelkezik. Ideális a rádió és tv adások, továbbá az analóg és digitális jelek vételére egyaránt. Az antenna 47-230 MHz, 470-862 MHz közötti frekvencia tartománnyal rendelkezik.
A készülék bútorra vagy falra is akasztható. Tápellátása: hálózati adapter (tartozék). Az antenna táplálható vevő készülékből is (5 V DC). Válassza a minőségi termékeket és rendeljen webáruházunkból!</t>
        </is>
      </c>
    </row>
    <row r="1848">
      <c r="A1848" s="6" t="inlineStr">
        <is>
          <t xml:space="preserve">   Lakáskiegészítő / Univerzális távirányító</t>
        </is>
      </c>
      <c r="B1848" s="6" t="inlineStr">
        <is>
          <t/>
        </is>
      </c>
      <c r="C1848" s="6" t="inlineStr">
        <is>
          <t/>
        </is>
      </c>
      <c r="D1848" s="6" t="inlineStr">
        <is>
          <t/>
        </is>
      </c>
      <c r="E1848" s="6" t="inlineStr">
        <is>
          <t/>
        </is>
      </c>
      <c r="F1848" s="6" t="inlineStr">
        <is>
          <t/>
        </is>
      </c>
      <c r="G1848" s="6" t="inlineStr">
        <is>
          <t/>
        </is>
      </c>
    </row>
    <row r="1849">
      <c r="A1849" s="3" t="inlineStr">
        <is>
          <t>URC 10</t>
        </is>
      </c>
      <c r="B1849" s="2" t="inlineStr">
        <is>
          <t>Home URC 10 univerzális távirányító, 8 távirányítót helyettesít, előre programozott, teletext funkció</t>
        </is>
      </c>
      <c r="C1849" s="1" t="n">
        <v>2090.0</v>
      </c>
      <c r="D1849" s="7" t="n">
        <f>HYPERLINK("https://www.somogyi.hu/product/home-urc-10-univerzalis-taviranyito-8-taviranyitot-helyettesit-elore-programozott-teletext-funkcio-urc-10-7097","https://www.somogyi.hu/product/home-urc-10-univerzalis-taviranyito-8-taviranyitot-helyettesit-elore-programozott-teletext-funkcio-urc-10-7097")</f>
        <v>0.0</v>
      </c>
      <c r="E1849" s="7" t="n">
        <f>HYPERLINK("https://www.somogyi.hu/data/img/product_main_images/small/07097.jpg","https://www.somogyi.hu/data/img/product_main_images/small/07097.jpg")</f>
        <v>0.0</v>
      </c>
      <c r="F1849" s="2" t="inlineStr">
        <is>
          <t>5998312760918</t>
        </is>
      </c>
      <c r="G1849" s="4" t="inlineStr">
        <is>
          <t>Gondolta volna? Az URC 10 egy 8in1 univerzális távirányító (egyszerre nyolc távirányítót helyettesít), amelynek segítségével megkímélheti magát a többi felesleges távirányító használatától. 
Kábel tv dekóder működtetéséhez is alkalmas. Ezen kívül televízió, videomagnó, műholdvevő, DVD, hifi irányítására is beprogramozható. Programozásnál a kódkiválasztást gyorskeresés könnyíti meg, vagy márka szerint is lehetséges. Lehetőség van teletext funkcióra, illetve a készülék memóriával rendelkezik az elemcsere áthidalására. Tápellátása: 2 X AAA [1,5] elem. Válassza a minőségi termékeket és rendeljen webáruházunkból.</t>
        </is>
      </c>
    </row>
    <row r="1850">
      <c r="A1850" s="3" t="inlineStr">
        <is>
          <t>URC 2000AC/SL</t>
        </is>
      </c>
      <c r="B1850" s="2" t="inlineStr">
        <is>
          <t>Home URC 2000AC/SL univerzális légkondicionáló távirányító, 2000 működtető kód, 10000 típushoz, SMART elalvásmód, márka szerinti kézi beállítás</t>
        </is>
      </c>
      <c r="C1850" s="1" t="n">
        <v>7990.0</v>
      </c>
      <c r="D1850" s="7" t="n">
        <f>HYPERLINK("https://www.somogyi.hu/product/home-urc-2000ac-sl-univerzalis-legkondicionalo-taviranyito-2000-mukodteto-kod-10000-tipushoz-smart-elalvasmod-marka-szerinti-kezi-beallitas-urc-2000ac-sl-15032","https://www.somogyi.hu/product/home-urc-2000ac-sl-univerzalis-legkondicionalo-taviranyito-2000-mukodteto-kod-10000-tipushoz-smart-elalvasmod-marka-szerinti-kezi-beallitas-urc-2000ac-sl-15032")</f>
        <v>0.0</v>
      </c>
      <c r="E1850" s="7" t="n">
        <f>HYPERLINK("https://www.somogyi.hu/data/img/product_main_images/small/15032.jpg","https://www.somogyi.hu/data/img/product_main_images/small/15032.jpg")</f>
        <v>0.0</v>
      </c>
      <c r="F1850" s="2" t="inlineStr">
        <is>
          <t>5999084930660</t>
        </is>
      </c>
      <c r="G1850" s="4" t="inlineStr">
        <is>
          <t>Tegye igazán komfortossá a klímarendszerek működtetését. Az URC 2000AC/SL típusú univerzális távirányító kifejezetten a légkondicionálók működtetéséhez ajánlott.
A távirányító 2000 működtető kóddal rendelkezik, továbbá több mint 10000 típushoz lehet használni. Ennek köszönhetően szinte minden légkondicionálóhoz lehet a készüléket alkalmazni. Mindemellett pedig új funkciókkal bővíti a klímákat. Így pl. mindig kijelzi a szoba hőmérsékletét, leolvasható a pontos idő, különféle programokat lehet időzíteni, illetve be- és kikapcsolni. A távirányító segítségével intelligens gyorshűtő és gyorsfűtő módra van lehetőség.
Mindemellett lehetőség van arra, hogy a SMART elalvás mód segítségével késleltetve szabályozzuk a hőmérsékletet. Az automatikus kód kereséssel pedig könnyedén beállítható az adott klíma kódja, továbbá márka szerinti kézi beállításra is lehetőség van.  A termék egy fali tartókonzolt tartalmaz. Válassza a minőségi termékeket és rendeljen webáruházunkból.</t>
        </is>
      </c>
    </row>
    <row r="1851">
      <c r="A1851" s="3" t="inlineStr">
        <is>
          <t>URC SAM 1</t>
        </is>
      </c>
      <c r="B1851" s="2" t="inlineStr">
        <is>
          <t>Home SAM 1 Samsung távirányító, Samsung márkájú smart TV készülékekhez, nem igényel beállítást</t>
        </is>
      </c>
      <c r="C1851" s="1" t="n">
        <v>3090.0</v>
      </c>
      <c r="D1851" s="7" t="n">
        <f>HYPERLINK("https://www.somogyi.hu/product/home-sam-1-samsung-taviranyito-samsung-markaju-smart-tv-keszulekekhez-nem-igenyel-beallitast-urc-sam-1-15437","https://www.somogyi.hu/product/home-sam-1-samsung-taviranyito-samsung-markaju-smart-tv-keszulekekhez-nem-igenyel-beallitast-urc-sam-1-15437")</f>
        <v>0.0</v>
      </c>
      <c r="E1851" s="7" t="n">
        <f>HYPERLINK("https://www.somogyi.hu/data/img/product_main_images/small/15437.jpg","https://www.somogyi.hu/data/img/product_main_images/small/15437.jpg")</f>
        <v>0.0</v>
      </c>
      <c r="F1851" s="2" t="inlineStr">
        <is>
          <t>5999084934712</t>
        </is>
      </c>
      <c r="G1851" s="4" t="inlineStr">
        <is>
          <t>Elromlott, esetleg elveszett az okos TV készülékéhez tartozó távirányító? Az URC SAM 1 távirányító alkalmas a SAMSUNG márkájú okos TV készülékhez! Előre kódolt, így nem igényel semmiféle beállítást. Válassza a minőségi termékeket és rendeljen webáruházunkból!</t>
        </is>
      </c>
    </row>
    <row r="1852">
      <c r="A1852" s="3" t="inlineStr">
        <is>
          <t>URC SON</t>
        </is>
      </c>
      <c r="B1852" s="2" t="inlineStr">
        <is>
          <t>Home URC SON SONY távirányító, Sony márkájú smart TV készülékekhez, nem igényel beállítást</t>
        </is>
      </c>
      <c r="C1852" s="1" t="n">
        <v>3090.0</v>
      </c>
      <c r="D1852" s="7" t="n">
        <f>HYPERLINK("https://www.somogyi.hu/product/home-urc-son-sony-taviranyito-sony-markaju-smart-tv-keszulekekhez-nem-igenyel-beallitast-urc-son-15439","https://www.somogyi.hu/product/home-urc-son-sony-taviranyito-sony-markaju-smart-tv-keszulekekhez-nem-igenyel-beallitast-urc-son-15439")</f>
        <v>0.0</v>
      </c>
      <c r="E1852" s="7" t="n">
        <f>HYPERLINK("https://www.somogyi.hu/data/img/product_main_images/small/15439.jpg","https://www.somogyi.hu/data/img/product_main_images/small/15439.jpg")</f>
        <v>0.0</v>
      </c>
      <c r="F1852" s="2" t="inlineStr">
        <is>
          <t>5999084934736</t>
        </is>
      </c>
      <c r="G1852" s="4" t="inlineStr">
        <is>
          <t>Elromlott, esetleg elveszett Az okos TV készülékéhez tartozó távirányító? Az URC SON távirányító alkalmas a SONY márkájú okos TV készülékhez! Előre kódolt, így nem igényel semmiféle beállítást. Válassza a minőségi termékeket és rendeljen webáruházunkból!</t>
        </is>
      </c>
    </row>
    <row r="1853">
      <c r="A1853" s="3" t="inlineStr">
        <is>
          <t>SUPTRB009</t>
        </is>
      </c>
      <c r="B1853" s="2" t="inlineStr">
        <is>
          <t>SUPERIOR SUPTRB009 távirányító, SONY® TV / Smart TV-khez, nem igényel beállítást, az összes, 2000 után gyártott  SONY® TV-khez használható</t>
        </is>
      </c>
      <c r="C1853" s="1" t="n">
        <v>2590.0</v>
      </c>
      <c r="D1853" s="7" t="n">
        <f>HYPERLINK("https://www.somogyi.hu/product/superior-suptrb009-taviranyito-sony-tv-smart-tv-khez-nem-igenyel-beallitast-az-osszes-2000-utan-gyartott-sony-tv-khez-hasznalhato-suptrb009-17580","https://www.somogyi.hu/product/superior-suptrb009-taviranyito-sony-tv-smart-tv-khez-nem-igenyel-beallitast-az-osszes-2000-utan-gyartott-sony-tv-khez-hasznalhato-suptrb009-17580")</f>
        <v>0.0</v>
      </c>
      <c r="E1853" s="7" t="n">
        <f>HYPERLINK("https://www.somogyi.hu/data/img/product_main_images/small/17580.jpg","https://www.somogyi.hu/data/img/product_main_images/small/17580.jpg")</f>
        <v>0.0</v>
      </c>
      <c r="F1853" s="2" t="inlineStr">
        <is>
          <t>8054242080469</t>
        </is>
      </c>
      <c r="G1853" s="4" t="inlineStr">
        <is>
          <t xml:space="preserve"> • hány távirányítót helyettesít: univerzális távirányító Sony® TV / Smart TV-khez 
 • LCD kijelző: nincs 
 • tanítható: nem 
 • egyéb funkciók: az elemek behelyezése után azonnal használhatja, nem kell programozni / ez a távirányító az összes, 2000 után gyártott Sony® TV -hez használható / néhány Smart TV gomb nem minden esetben támogatott 
 • tápellátás:  2 x 1,5 V (AAA) elem, nem tartozék</t>
        </is>
      </c>
    </row>
    <row r="1854">
      <c r="A1854" s="3" t="inlineStr">
        <is>
          <t>URC GR 1</t>
        </is>
      </c>
      <c r="B1854" s="2" t="inlineStr">
        <is>
          <t>Home URC GR 1 GRUNDIG távirányító, GRUNDIG márkájú TV készülékekhez, nem igényel beállítást</t>
        </is>
      </c>
      <c r="C1854" s="1" t="n">
        <v>2090.0</v>
      </c>
      <c r="D1854" s="7" t="n">
        <f>HYPERLINK("https://www.somogyi.hu/product/home-urc-gr-1-grundig-taviranyito-grundig-markaju-tv-keszulekekhez-nem-igenyel-beallitast-urc-gr-1-17034","https://www.somogyi.hu/product/home-urc-gr-1-grundig-taviranyito-grundig-markaju-tv-keszulekekhez-nem-igenyel-beallitast-urc-gr-1-17034")</f>
        <v>0.0</v>
      </c>
      <c r="E1854" s="7" t="n">
        <f>HYPERLINK("https://www.somogyi.hu/data/img/product_main_images/small/17034.jpg","https://www.somogyi.hu/data/img/product_main_images/small/17034.jpg")</f>
        <v>0.0</v>
      </c>
      <c r="F1854" s="2" t="inlineStr">
        <is>
          <t>5999084950668</t>
        </is>
      </c>
      <c r="G1854" s="4" t="inlineStr">
        <is>
          <t xml:space="preserve"> • hány távirányítót helyettesít: GRUNDIG márkájú TV készülékekhez 
 • kódkeresés: előre kódolt, nem igényel beállítást 
 • tápellátás: 2 x 1,5V (AAA) elem, nem tartozék</t>
        </is>
      </c>
    </row>
    <row r="1855">
      <c r="A1855" s="3" t="inlineStr">
        <is>
          <t>URC GATE</t>
        </is>
      </c>
      <c r="B1855" s="2" t="inlineStr">
        <is>
          <t>Home URC GATE univerzális kapunyitó, tanítható, fix kódos, 433 MHz rendszerekhez, egyidejűleg 4 funkcióhoz vagy eszközhöz, fém előlap és keret</t>
        </is>
      </c>
      <c r="C1855" s="1" t="n">
        <v>3990.0</v>
      </c>
      <c r="D1855" s="7" t="n">
        <f>HYPERLINK("https://www.somogyi.hu/product/home-urc-gate-univerzalis-kapunyito-tanithato-fix-kodos-433-mhz-rendszerekhez-egyidejuleg-4-funkciohoz-vagy-eszkozhoz-fem-elolap-es-keret-urc-gate-15823","https://www.somogyi.hu/product/home-urc-gate-univerzalis-kapunyito-tanithato-fix-kodos-433-mhz-rendszerekhez-egyidejuleg-4-funkciohoz-vagy-eszkozhoz-fem-elolap-es-keret-urc-gate-15823")</f>
        <v>0.0</v>
      </c>
      <c r="E1855" s="7" t="n">
        <f>HYPERLINK("https://www.somogyi.hu/data/img/product_main_images/small/15823.jpg","https://www.somogyi.hu/data/img/product_main_images/small/15823.jpg")</f>
        <v>0.0</v>
      </c>
      <c r="F1855" s="2" t="inlineStr">
        <is>
          <t>5999084938574</t>
        </is>
      </c>
      <c r="G1855" s="4" t="inlineStr">
        <is>
          <t>Könnyítse meg az otthoni elektronikai készülékek (ház, garázs- és elektromos kapuk) használatát, és vásároljon mielőbb egy fix kódos, univerzális távirányítót. Használható 433 MHz-es rendszerekhez, tanítható az eredeti távirányító alapján. Egyidejűleg négy funkcióhoz vagy eszközhöz használható, hatótávolsága kb. 30 méter. A termék fém előlappal és kerettel, valamint kulcstartóval rendelkezik. Tápellátása: LR 27A (12 V) elem. Válassza minőségi termékeket és rendeljen webáruházunkból!</t>
        </is>
      </c>
    </row>
    <row r="1856">
      <c r="A1856" s="3" t="inlineStr">
        <is>
          <t>SUPTRB008</t>
        </is>
      </c>
      <c r="B1856" s="2" t="inlineStr">
        <is>
          <t>SUPERIOR SUPTRB008 távirányító, Samsung® TV / Smart TV-khez, nem igényel beállítást, az összes, 2000 után gyártott  Samsung® TV-khez használható</t>
        </is>
      </c>
      <c r="C1856" s="1" t="n">
        <v>2590.0</v>
      </c>
      <c r="D1856" s="7" t="n">
        <f>HYPERLINK("https://www.somogyi.hu/product/superior-suptrb008-taviranyito-samsung-tv-smart-tv-khez-nem-igenyel-beallitast-az-osszes-2000-utan-gyartott-samsung-tv-khez-hasznalhato-suptrb008-17579","https://www.somogyi.hu/product/superior-suptrb008-taviranyito-samsung-tv-smart-tv-khez-nem-igenyel-beallitast-az-osszes-2000-utan-gyartott-samsung-tv-khez-hasznalhato-suptrb008-17579")</f>
        <v>0.0</v>
      </c>
      <c r="E1856" s="7" t="n">
        <f>HYPERLINK("https://www.somogyi.hu/data/img/product_main_images/small/17579.jpg","https://www.somogyi.hu/data/img/product_main_images/small/17579.jpg")</f>
        <v>0.0</v>
      </c>
      <c r="F1856" s="2" t="inlineStr">
        <is>
          <t>8054242080445</t>
        </is>
      </c>
      <c r="G1856" s="4" t="inlineStr">
        <is>
          <t xml:space="preserve"> • hány távirányítót helyettesít: univerzális távirányító Samsung® TV / Smart TV-khez 
 • LCD kijelző: nincs 
 • tanítható: nem 
 • egyéb funkciók: az elemek behelyezése után azonnal használhatja, nem kell programozni / ez a távirányító az összes, 2000 után gyártott Samsung® TV -hez használható / néhány Smart TV gomb nem minden esetben támogatott 
 • tápellátás:  2 x 1,5 V (AAA) elem, nem tartozék</t>
        </is>
      </c>
    </row>
    <row r="1857">
      <c r="A1857" s="3" t="inlineStr">
        <is>
          <t>URC LG 1</t>
        </is>
      </c>
      <c r="B1857" s="2" t="inlineStr">
        <is>
          <t>Home URC LG 1 LG távirányító, LG márkájú TV készülékekhez, nem igényel beállítást</t>
        </is>
      </c>
      <c r="C1857" s="1" t="n">
        <v>3090.0</v>
      </c>
      <c r="D1857" s="7" t="n">
        <f>HYPERLINK("https://www.somogyi.hu/product/home-urc-lg-1-lg-taviranyito-lg-markaju-tv-keszulekekhez-nem-igenyel-beallitast-urc-lg-1-15433","https://www.somogyi.hu/product/home-urc-lg-1-lg-taviranyito-lg-markaju-tv-keszulekekhez-nem-igenyel-beallitast-urc-lg-1-15433")</f>
        <v>0.0</v>
      </c>
      <c r="E1857" s="7" t="n">
        <f>HYPERLINK("https://www.somogyi.hu/data/img/product_main_images/small/15433.jpg","https://www.somogyi.hu/data/img/product_main_images/small/15433.jpg")</f>
        <v>0.0</v>
      </c>
      <c r="F1857" s="2" t="inlineStr">
        <is>
          <t>5999084934675</t>
        </is>
      </c>
      <c r="G1857" s="4" t="inlineStr">
        <is>
          <t>Elromlott, esetleg elveszett a TV készülékéhez tartozó távirányító? Az URC LG 1 távirányító alkalmas az LG márkájú TV készülékhez! Előre kódolt, így nem igényel semmiféle beállítást. Válassza a minőségi termékeket és rendeljen webáruházunkból!</t>
        </is>
      </c>
    </row>
    <row r="1858">
      <c r="A1858" s="3" t="inlineStr">
        <is>
          <t>URC LG 2</t>
        </is>
      </c>
      <c r="B1858" s="2" t="inlineStr">
        <is>
          <t>Home URC LG 2 LG távirányító, LG márkájú smart TV készülékekhez, nem igényel beállítást</t>
        </is>
      </c>
      <c r="C1858" s="1" t="n">
        <v>3090.0</v>
      </c>
      <c r="D1858" s="7" t="n">
        <f>HYPERLINK("https://www.somogyi.hu/product/home-urc-lg-2-lg-taviranyito-lg-markaju-smart-tv-keszulekekhez-nem-igenyel-beallitast-urc-lg-2-15434","https://www.somogyi.hu/product/home-urc-lg-2-lg-taviranyito-lg-markaju-smart-tv-keszulekekhez-nem-igenyel-beallitast-urc-lg-2-15434")</f>
        <v>0.0</v>
      </c>
      <c r="E1858" s="7" t="n">
        <f>HYPERLINK("https://www.somogyi.hu/data/img/product_main_images/small/15434.jpg","https://www.somogyi.hu/data/img/product_main_images/small/15434.jpg")</f>
        <v>0.0</v>
      </c>
      <c r="F1858" s="2" t="inlineStr">
        <is>
          <t>5999084934682</t>
        </is>
      </c>
      <c r="G1858" s="4" t="inlineStr">
        <is>
          <t>Elromlott, esetleg elveszett az okos TV készülékéhez tartozó távirányító? Az URC LG 2 távirányító alkalmas az LG márkájú okos TV készülékhez! Előre kódolt, így nem igényel semmiféle beállítást. Válassza a minőségi termékeket és rendeljen webáruházunkból!</t>
        </is>
      </c>
    </row>
    <row r="1859">
      <c r="A1859" s="3" t="inlineStr">
        <is>
          <t>URC PH</t>
        </is>
      </c>
      <c r="B1859" s="2" t="inlineStr">
        <is>
          <t>Home URC PH Philips távirányító, Philips márkájú smart TV készülékekhez, nem igényel beállítást</t>
        </is>
      </c>
      <c r="C1859" s="1" t="n">
        <v>3090.0</v>
      </c>
      <c r="D1859" s="7" t="n">
        <f>HYPERLINK("https://www.somogyi.hu/product/home-urc-ph-philips-taviranyito-philips-markaju-smart-tv-keszulekekhez-nem-igenyel-beallitast-urc-ph-15436","https://www.somogyi.hu/product/home-urc-ph-philips-taviranyito-philips-markaju-smart-tv-keszulekekhez-nem-igenyel-beallitast-urc-ph-15436")</f>
        <v>0.0</v>
      </c>
      <c r="E1859" s="7" t="n">
        <f>HYPERLINK("https://www.somogyi.hu/data/img/product_main_images/small/15436.jpg","https://www.somogyi.hu/data/img/product_main_images/small/15436.jpg")</f>
        <v>0.0</v>
      </c>
      <c r="F1859" s="2" t="inlineStr">
        <is>
          <t>5999084934705</t>
        </is>
      </c>
      <c r="G1859" s="4" t="inlineStr">
        <is>
          <t>Elromlott, esetleg elveszett az okos TV készülékéhez tartozó távirányító? Az URC PH távirányító alkalmas a PHILIPS márkájú okos TV készülékhez! Előre kódolt, így nem igényel semmiféle beállítást. Válassza a minőségi termékeket és rendeljen webáruházunkból!</t>
        </is>
      </c>
    </row>
    <row r="1860">
      <c r="A1860" s="3" t="inlineStr">
        <is>
          <t>URC JUMP</t>
        </is>
      </c>
      <c r="B1860" s="2" t="inlineStr">
        <is>
          <t>Home URC JUMP univerzális kapunyitó, 2IN1, betaníthatóaz ugrókódos kapuelektronikához, betanítható az eredeti fix kódos távirányítóhoz, ABS</t>
        </is>
      </c>
      <c r="C1860" s="1" t="n">
        <v>7590.0</v>
      </c>
      <c r="D1860" s="7" t="n">
        <f>HYPERLINK("https://www.somogyi.hu/product/home-urc-jump-univerzalis-kapunyito-2in1-betanithatoaz-ugrokodos-kapuelektronikahoz-betanithato-az-eredeti-fix-kodos-taviranyitohoz-abs-urc-jump-16487","https://www.somogyi.hu/product/home-urc-jump-univerzalis-kapunyito-2in1-betanithatoaz-ugrokodos-kapuelektronikahoz-betanithato-az-eredeti-fix-kodos-taviranyitohoz-abs-urc-jump-16487")</f>
        <v>0.0</v>
      </c>
      <c r="E1860" s="7" t="n">
        <f>HYPERLINK("https://www.somogyi.hu/data/img/product_main_images/small/16487.jpg","https://www.somogyi.hu/data/img/product_main_images/small/16487.jpg")</f>
        <v>0.0</v>
      </c>
      <c r="F1860" s="2" t="inlineStr">
        <is>
          <t>5999084945190</t>
        </is>
      </c>
      <c r="G1860" s="4" t="inlineStr">
        <is>
          <t>Az URC JUMP Univerzális távirányító betanítható ugrókódos kapuelektronikához, eredeti fix kódos távirányítóhoz, valamint külön taníthatóak a nyomógombok rajta. 
Működéséhez nem elegendő, ha a távirányítót beállítja, hanem az irányítani kívánt eszköz (pl. garázskapu) vezérlésével is össze kell tanítani. Tehát a távirányítóhoz hozzá kell tanítani a működtetni kívánt eszközt. Ennek menetéről az irányítani kívánt eszköz használati útmutatójában tájékozódhat. 
Frekvencia tartománya: 280-350/380-450/867-868 MHz.
Tápellátásához 1 db 3V (CR2032) elem szükséges.</t>
        </is>
      </c>
    </row>
    <row r="1861">
      <c r="A1861" s="3" t="inlineStr">
        <is>
          <t>SUPTRB007</t>
        </is>
      </c>
      <c r="B1861" s="2" t="inlineStr">
        <is>
          <t>SUPERIOR SUPTRB007 távirányító, LG® TV / Smart TV-khez, nem igényel beállítást, az összes, 2000 után gyártott LG® TV -hez használható</t>
        </is>
      </c>
      <c r="C1861" s="1" t="n">
        <v>2590.0</v>
      </c>
      <c r="D1861" s="7" t="n">
        <f>HYPERLINK("https://www.somogyi.hu/product/superior-suptrb007-taviranyito-lg-tv-smart-tv-khez-nem-igenyel-beallitast-az-osszes-2000-utan-gyartott-lg-tv-hez-hasznalhato-suptrb007-17578","https://www.somogyi.hu/product/superior-suptrb007-taviranyito-lg-tv-smart-tv-khez-nem-igenyel-beallitast-az-osszes-2000-utan-gyartott-lg-tv-hez-hasznalhato-suptrb007-17578")</f>
        <v>0.0</v>
      </c>
      <c r="E1861" s="7" t="n">
        <f>HYPERLINK("https://www.somogyi.hu/data/img/product_main_images/small/17578.jpg","https://www.somogyi.hu/data/img/product_main_images/small/17578.jpg")</f>
        <v>0.0</v>
      </c>
      <c r="F1861" s="2" t="inlineStr">
        <is>
          <t>8054242080438</t>
        </is>
      </c>
      <c r="G1861" s="4" t="inlineStr">
        <is>
          <t xml:space="preserve"> • hány távirányítót helyettesít: univerzális távirányító LG® TV / Smart TV-khez 
 • LCD kijelző: nincs 
 • tanítható: nem 
 • egyéb funkciók: az elemek behelyezése után azonnal használhatja, nem kell programozni / ez a távirányító az összes, 2000 után gyártott LG® TV -hez használható / néhány Smart TV gomb nem minden esetben támogatott 
 • tápellátás: 2 x 1,5 V (AAA) elem, nem tartozék</t>
        </is>
      </c>
    </row>
    <row r="1862">
      <c r="A1862" s="3" t="inlineStr">
        <is>
          <t>URC ALL</t>
        </is>
      </c>
      <c r="B1862" s="2" t="inlineStr">
        <is>
          <t>Home URC ALL univerzális távirányító, Samsung, LG, SONY, Panasonic, Toshiba, Philips, Hisense, Sharp, Grundig TV-khez, 3D TV kompatibilis, előre kódolt</t>
        </is>
      </c>
      <c r="C1862" s="1" t="n">
        <v>3090.0</v>
      </c>
      <c r="D1862" s="7" t="n">
        <f>HYPERLINK("https://www.somogyi.hu/product/home-urc-all-univerzalis-taviranyito-samsung-lg-sony-panasonic-toshiba-philips-hisense-sharp-grundig-tv-khez-3d-tv-kompatibilis-elore-kodolt-urc-all-16917","https://www.somogyi.hu/product/home-urc-all-univerzalis-taviranyito-samsung-lg-sony-panasonic-toshiba-philips-hisense-sharp-grundig-tv-khez-3d-tv-kompatibilis-elore-kodolt-urc-all-16917")</f>
        <v>0.0</v>
      </c>
      <c r="E1862" s="7" t="n">
        <f>HYPERLINK("https://www.somogyi.hu/data/img/product_main_images/small/16917.jpg","https://www.somogyi.hu/data/img/product_main_images/small/16917.jpg")</f>
        <v>0.0</v>
      </c>
      <c r="F1862" s="2" t="inlineStr">
        <is>
          <t>5999084949495</t>
        </is>
      </c>
      <c r="G1862" s="4" t="inlineStr">
        <is>
          <t xml:space="preserve"> • hány távirányítót helyettesít: 9 márka TV-készülékeinek működtetéséhez (Samsung, LG, Sony, Panasonic, Toshiba, Philips, Hisense, Sharp, Grundig) 
 • kódkeresés: márkánként előre kódolt 
 • egyéb funkciók: gombnyomást jelző piros LED / 3D TV kompatibilis 
 • tápellátás: 2 x 1,5 V (AAA) elem, nem tartozék</t>
        </is>
      </c>
    </row>
    <row r="1863">
      <c r="A1863" s="3" t="inlineStr">
        <is>
          <t>URC PAN</t>
        </is>
      </c>
      <c r="B1863" s="2" t="inlineStr">
        <is>
          <t>Home PAN Panasonic távirányító, Panasonic márkájú smart TV készülékekhez, nem igényel beállítást</t>
        </is>
      </c>
      <c r="C1863" s="1" t="n">
        <v>3090.0</v>
      </c>
      <c r="D1863" s="7" t="n">
        <f>HYPERLINK("https://www.somogyi.hu/product/home-pan-panasonic-taviranyito-panasonic-markaju-smart-tv-keszulekekhez-nem-igenyel-beallitast-urc-pan-15435","https://www.somogyi.hu/product/home-pan-panasonic-taviranyito-panasonic-markaju-smart-tv-keszulekekhez-nem-igenyel-beallitast-urc-pan-15435")</f>
        <v>0.0</v>
      </c>
      <c r="E1863" s="7" t="n">
        <f>HYPERLINK("https://www.somogyi.hu/data/img/product_main_images/small/15435.jpg","https://www.somogyi.hu/data/img/product_main_images/small/15435.jpg")</f>
        <v>0.0</v>
      </c>
      <c r="F1863" s="2" t="inlineStr">
        <is>
          <t>5999084934699</t>
        </is>
      </c>
      <c r="G1863" s="4" t="inlineStr">
        <is>
          <t>Elromlott, esetleg elveszett az okos TV készülékéhez tartozó távirányító? Az URC PAN távirányító alkalmas a PANASONIC márkájú okos TV készülékhez! Előre kódolt, így nem igényel semmiféle beállítást. Válassza a minőségi termékeket és rendeljen webáruházunkból!</t>
        </is>
      </c>
    </row>
    <row r="1864">
      <c r="A1864" s="3" t="inlineStr">
        <is>
          <t>URC SAM 2</t>
        </is>
      </c>
      <c r="B1864" s="2" t="inlineStr">
        <is>
          <t>Home SAM 2 Samsung távirányító, Samsung márkájú TV készülékekhez, nem igényel beállítást</t>
        </is>
      </c>
      <c r="C1864" s="1" t="n">
        <v>3090.0</v>
      </c>
      <c r="D1864" s="7" t="n">
        <f>HYPERLINK("https://www.somogyi.hu/product/home-sam-2-samsung-taviranyito-samsung-markaju-tv-keszulekekhez-nem-igenyel-beallitast-urc-sam-2-15438","https://www.somogyi.hu/product/home-sam-2-samsung-taviranyito-samsung-markaju-tv-keszulekekhez-nem-igenyel-beallitast-urc-sam-2-15438")</f>
        <v>0.0</v>
      </c>
      <c r="E1864" s="7" t="n">
        <f>HYPERLINK("https://www.somogyi.hu/data/img/product_main_images/small/15438.jpg","https://www.somogyi.hu/data/img/product_main_images/small/15438.jpg")</f>
        <v>0.0</v>
      </c>
      <c r="F1864" s="2" t="inlineStr">
        <is>
          <t>5999084934729</t>
        </is>
      </c>
      <c r="G1864" s="4" t="inlineStr">
        <is>
          <t>Elromlott, esetleg elveszett a TV készülékéhez tartozó távirányító? Az URC SAM 2 távirányító alkalmas a SAMSUNG márkájú TV készülékhez! Előre kódolt, így nem igényel semmiféle beállítást. Válassza a minőségi termékeket és rendeljen webáruházunkból!</t>
        </is>
      </c>
    </row>
    <row r="1865">
      <c r="A1865" s="3" t="inlineStr">
        <is>
          <t>URC 22</t>
        </is>
      </c>
      <c r="B1865" s="2" t="inlineStr">
        <is>
          <t>Home URC 22 univerzális távirányító, 4 távirányítót helyettesít, előre programozott kódok, ergonomikus kialakítás</t>
        </is>
      </c>
      <c r="C1865" s="1" t="n">
        <v>2490.0</v>
      </c>
      <c r="D1865" s="7" t="n">
        <f>HYPERLINK("https://www.somogyi.hu/product/home-urc-22-univerzalis-taviranyito-4-taviranyitot-helyettesit-elore-programozott-kodok-ergonomikus-kialakitas-urc-22-14251","https://www.somogyi.hu/product/home-urc-22-univerzalis-taviranyito-4-taviranyitot-helyettesit-elore-programozott-kodok-ergonomikus-kialakitas-urc-22-14251")</f>
        <v>0.0</v>
      </c>
      <c r="E1865" s="7" t="n">
        <f>HYPERLINK("https://www.somogyi.hu/data/img/product_main_images/small/14251.jpg","https://www.somogyi.hu/data/img/product_main_images/small/14251.jpg")</f>
        <v>0.0</v>
      </c>
      <c r="F1865" s="2" t="inlineStr">
        <is>
          <t>5999084922993</t>
        </is>
      </c>
      <c r="G1865" s="4" t="inlineStr">
        <is>
          <t>Gondolta volna? Az URC 22 egy 4in1 univerzális távirányító, mellyel egyszerre négy távirányítót helyettesíthet. A termék előre programozott kódokkal rendelkezik. Lehetőség van kézi kódválasztásra, vagy automata kódkeresésre is.  Tápellátása: 2 X AA [1,5 V] elem. Válassza  a minőségi termékeket és rendeljen webáruházunkból!</t>
        </is>
      </c>
    </row>
    <row r="1866">
      <c r="A1866" s="6" t="inlineStr">
        <is>
          <t xml:space="preserve">   Lakáskiegészítő / Fali tartó</t>
        </is>
      </c>
      <c r="B1866" s="6" t="inlineStr">
        <is>
          <t/>
        </is>
      </c>
      <c r="C1866" s="6" t="inlineStr">
        <is>
          <t/>
        </is>
      </c>
      <c r="D1866" s="6" t="inlineStr">
        <is>
          <t/>
        </is>
      </c>
      <c r="E1866" s="6" t="inlineStr">
        <is>
          <t/>
        </is>
      </c>
      <c r="F1866" s="6" t="inlineStr">
        <is>
          <t/>
        </is>
      </c>
      <c r="G1866" s="6" t="inlineStr">
        <is>
          <t/>
        </is>
      </c>
    </row>
    <row r="1867">
      <c r="A1867" s="3" t="inlineStr">
        <is>
          <t>LCDH 321</t>
        </is>
      </c>
      <c r="B1867" s="2" t="inlineStr">
        <is>
          <t>Home LCDH 321 LCD/LED TV fali tartó, 23” - 55” képernyőméretig, max. 30 kg teherbírás, teljesen mozgatható, fali rögzítő elemek tartozékok</t>
        </is>
      </c>
      <c r="C1867" s="1" t="n">
        <v>6390.0</v>
      </c>
      <c r="D1867" s="7" t="n">
        <f>HYPERLINK("https://www.somogyi.hu/product/home-lcdh-321-lcd-led-tv-fali-tarto-23-55-kepernyomeretig-max-30-kg-teherbiras-teljesen-mozgathato-fali-rogzito-elemek-tartozekok-lcdh-321-18109","https://www.somogyi.hu/product/home-lcdh-321-lcd-led-tv-fali-tarto-23-55-kepernyomeretig-max-30-kg-teherbiras-teljesen-mozgathato-fali-rogzito-elemek-tartozekok-lcdh-321-18109")</f>
        <v>0.0</v>
      </c>
      <c r="E1867" s="7" t="n">
        <f>HYPERLINK("https://www.somogyi.hu/data/img/product_main_images/small/18109.jpg","https://www.somogyi.hu/data/img/product_main_images/small/18109.jpg")</f>
        <v>0.0</v>
      </c>
      <c r="F1867" s="2" t="inlineStr">
        <is>
          <t>5999084961312</t>
        </is>
      </c>
      <c r="G1867" s="4" t="inlineStr">
        <is>
          <t xml:space="preserve"> • alapanyaga: fém 
 • képernyőméret: 23" - 55" 
 • max. terhelés: 30 kg 
 • VESA: 100x100,100x200,200x100,200x200,300x200,400x200,300x300,400x300,400x400 
 • tartozék: fali rögzítő elemek 
 • tulajdonság: kinyújtható 20,8 cm-ig, összecsukva 6 cm-re húzódik vissza</t>
        </is>
      </c>
    </row>
    <row r="1868">
      <c r="A1868" s="3" t="inlineStr">
        <is>
          <t>LCDH 291</t>
        </is>
      </c>
      <c r="B1868" s="2" t="inlineStr">
        <is>
          <t>Home LCDH 291 LCD/LED TV fali tartó, 23” - 55” képernyőméretig, max. 30 kg teherbírás, teljesen mozgatható, fali rögzítő elemek tartozékok</t>
        </is>
      </c>
      <c r="C1868" s="1" t="n">
        <v>9590.0</v>
      </c>
      <c r="D1868" s="7" t="n">
        <f>HYPERLINK("https://www.somogyi.hu/product/home-lcdh-291-lcd-led-tv-fali-tarto-23-55-kepernyomeretig-max-30-kg-teherbiras-teljesen-mozgathato-fali-rogzito-elemek-tartozekok-lcdh-291-18110","https://www.somogyi.hu/product/home-lcdh-291-lcd-led-tv-fali-tarto-23-55-kepernyomeretig-max-30-kg-teherbiras-teljesen-mozgathato-fali-rogzito-elemek-tartozekok-lcdh-291-18110")</f>
        <v>0.0</v>
      </c>
      <c r="E1868" s="7" t="n">
        <f>HYPERLINK("https://www.somogyi.hu/data/img/product_main_images/small/18110.jpg","https://www.somogyi.hu/data/img/product_main_images/small/18110.jpg")</f>
        <v>0.0</v>
      </c>
      <c r="F1868" s="2" t="inlineStr">
        <is>
          <t>5999084961329</t>
        </is>
      </c>
      <c r="G1868" s="4" t="inlineStr">
        <is>
          <t xml:space="preserve"> • alapanyaga: fém 
 • képernyőméret: 23" - 55" 
 • max. terhelés: 30 kg 
 • billenthető: föl-le billenthető: +3°/- 10° 
 • több irányban mozgatható: jobbra-balra forgatható: +90°/- 90° 
 • VESA: 100x100,100x200,200x100,200x200,300x200,400x200,300x300,400x300,400x400 
 • tartozék: fali rögzítő elemek</t>
        </is>
      </c>
    </row>
    <row r="1869">
      <c r="A1869" s="3" t="inlineStr">
        <is>
          <t>LCDH 19</t>
        </is>
      </c>
      <c r="B1869" s="2" t="inlineStr">
        <is>
          <t>Home LCDH 19 LCD/LED TV fali tartó, 37”-70” képernyőméretig, max. 40 kg teherbírás, billenthető, beépített vízszintező, tartozék rögzítő elemek</t>
        </is>
      </c>
      <c r="C1869" s="1" t="n">
        <v>7690.0</v>
      </c>
      <c r="D1869" s="7" t="n">
        <f>HYPERLINK("https://www.somogyi.hu/product/home-lcdh-19-lcd-led-tv-fali-tarto-37-70-kepernyomeretig-max-40-kg-teherbiras-billentheto-beepitett-vizszintezo-tartozek-rogzito-elemek-lcdh-19-14587","https://www.somogyi.hu/product/home-lcdh-19-lcd-led-tv-fali-tarto-37-70-kepernyomeretig-max-40-kg-teherbiras-billentheto-beepitett-vizszintezo-tartozek-rogzito-elemek-lcdh-19-14587")</f>
        <v>0.0</v>
      </c>
      <c r="E1869" s="7" t="n">
        <f>HYPERLINK("https://www.somogyi.hu/data/img/product_main_images/small/14587.jpg","https://www.somogyi.hu/data/img/product_main_images/small/14587.jpg")</f>
        <v>0.0</v>
      </c>
      <c r="F1869" s="2" t="inlineStr">
        <is>
          <t>5999084926298</t>
        </is>
      </c>
      <c r="G1869" s="4" t="inlineStr">
        <is>
          <t>Egy masszív fali tartót szeretne vásárolni az nagyméretű LCD tévéjéhez? Ez esetben a LCDH 19 garantáltan ideális választás a 37” – 70” képernyőméretig. A tartó maximális teherbírása 40 kg.  A termék további előnye, hogy billenthető (+/- 12°), ennek köszönhetően garantáltan ideális rálátása lesz a készülékre. Válassza a minőségi termékeket és rendeljen webáruházunkból.</t>
        </is>
      </c>
    </row>
    <row r="1870">
      <c r="A1870" s="3" t="inlineStr">
        <is>
          <t>LCDH 071</t>
        </is>
      </c>
      <c r="B1870" s="2" t="inlineStr">
        <is>
          <t>Home LCDH 071 LCD/LED TV fali tartó, 23”-42” képernyőméretig, max. 45 kg teherbírás, fix, tartozék rögzítő elemek</t>
        </is>
      </c>
      <c r="C1870" s="1" t="n">
        <v>3990.0</v>
      </c>
      <c r="D1870" s="7" t="n">
        <f>HYPERLINK("https://www.somogyi.hu/product/home-lcdh-071-lcd-led-tv-fali-tarto-23-42-kepernyomeretig-max-45-kg-teherbiras-fix-tartozek-rogzito-elemek-lcdh-071-18107","https://www.somogyi.hu/product/home-lcdh-071-lcd-led-tv-fali-tarto-23-42-kepernyomeretig-max-45-kg-teherbiras-fix-tartozek-rogzito-elemek-lcdh-071-18107")</f>
        <v>0.0</v>
      </c>
      <c r="E1870" s="7" t="n">
        <f>HYPERLINK("https://www.somogyi.hu/data/img/product_main_images/small/18107.jpg","https://www.somogyi.hu/data/img/product_main_images/small/18107.jpg")</f>
        <v>0.0</v>
      </c>
      <c r="F1870" s="2" t="inlineStr">
        <is>
          <t>5999084961299</t>
        </is>
      </c>
      <c r="G1870" s="4" t="inlineStr">
        <is>
          <t xml:space="preserve"> • alapanyaga: fém 
 • képernyőméret: 23" - 42" 
 • max. terhelés: 45 kg 
 • automata rögzítés, gyorskioldással: rugós, automata rögzítésse 
 • VESA: 75x75,100x100,100x150,150x100,100x200,200x100,150x150,200x200 
 • tartozék: rögzítő elemek</t>
        </is>
      </c>
    </row>
    <row r="1871">
      <c r="A1871" s="3" t="inlineStr">
        <is>
          <t>LCDH 31</t>
        </is>
      </c>
      <c r="B1871" s="2" t="inlineStr">
        <is>
          <t>Home LCDH 31 LCD/LED TV fali tartó, 37” - 90” képernyőméretig, max. 75 kg teherbírás, teljesen mozgatható, fali rögzítő elemek tartozékok</t>
        </is>
      </c>
      <c r="C1871" s="1" t="n">
        <v>38690.0</v>
      </c>
      <c r="D1871" s="7" t="n">
        <f>HYPERLINK("https://www.somogyi.hu/product/home-lcdh-31-lcd-led-tv-fali-tarto-37-90-kepernyomeretig-max-75-kg-teherbiras-teljesen-mozgathato-fali-rogzito-elemek-tartozekok-lcdh-31-16545","https://www.somogyi.hu/product/home-lcdh-31-lcd-led-tv-fali-tarto-37-90-kepernyomeretig-max-75-kg-teherbiras-teljesen-mozgathato-fali-rogzito-elemek-tartozekok-lcdh-31-16545")</f>
        <v>0.0</v>
      </c>
      <c r="E1871" s="7" t="n">
        <f>HYPERLINK("https://www.somogyi.hu/data/img/product_main_images/small/16545.jpg","https://www.somogyi.hu/data/img/product_main_images/small/16545.jpg")</f>
        <v>0.0</v>
      </c>
      <c r="F1871" s="2" t="inlineStr">
        <is>
          <t>5999084945770</t>
        </is>
      </c>
      <c r="G1871" s="4" t="inlineStr">
        <is>
          <t>Az LCDH 31 fali tartó masszív, kinyújtható kivitelben készült. 63,5 cm-ig kinyújtható a tv tartó, hogy közelebbről láthassa a TV adást. Összecsukva 6,9 cm-re húzódik vissza. 37”- 90” képernyő átmérőjű LCD és LED tévék falra szereléséhez alkalmas. Maximum 75 kg-ig terhelhető. 
Felszerelése rendkívül egyszerű a beépített vízszintezővel.
Tartozékként szállítjuk a fali rögzítő elemeket. 
VESA szabvány (készülék hátoldalán lévő szerelőnyílások függőleges és vízszintes távolság):
200x200, 300x300, 400x200, 400x400, 600x400, 800x400</t>
        </is>
      </c>
    </row>
    <row r="1872">
      <c r="A1872" s="3" t="inlineStr">
        <is>
          <t>LCDH 01/BK</t>
        </is>
      </c>
      <c r="B1872" s="2" t="inlineStr">
        <is>
          <t>Home LCDH 01/BK fali tartó, hangfalakhoz, max. 15 kg teherbírású, 3 ponton forgatható tartókar, alumíniumöntvény konstrukció, tartozék szerelvények</t>
        </is>
      </c>
      <c r="C1872" s="1" t="n">
        <v>10190.0</v>
      </c>
      <c r="D1872" s="7" t="n">
        <f>HYPERLINK("https://www.somogyi.hu/product/home-lcdh-01-bk-fali-tarto-hangfalakhoz-max-15-kg-teherbirasu-3-ponton-forgathato-tartokar-aluminiumontveny-konstrukcio-tartozek-szerelvenyek-lcdh-01-bk-14432","https://www.somogyi.hu/product/home-lcdh-01-bk-fali-tarto-hangfalakhoz-max-15-kg-teherbirasu-3-ponton-forgathato-tartokar-aluminiumontveny-konstrukcio-tartozek-szerelvenyek-lcdh-01-bk-14432")</f>
        <v>0.0</v>
      </c>
      <c r="E1872" s="7" t="n">
        <f>HYPERLINK("https://www.somogyi.hu/data/img/product_main_images/small/14432.jpg","https://www.somogyi.hu/data/img/product_main_images/small/14432.jpg")</f>
        <v>0.0</v>
      </c>
      <c r="F1872" s="2" t="inlineStr">
        <is>
          <t>5999084924805</t>
        </is>
      </c>
      <c r="G1872" s="4" t="inlineStr">
        <is>
          <t>Egy praktikus fali tartót keres? Ez esetben a LCDH 01/BK garantáltan ideális választás lesz Önnek!  A fali tartó 3 ponton forgatható tartókarral, valamint dönthető alaplappal rendelkezik. A fekete színű polc összesen 15 kg súlyig terhelhető. Az alaplap kialakítása a VESA szabvány szerint került sor. Válassza a minőségi termékeket és rendeljen webáruházunkból.</t>
        </is>
      </c>
    </row>
    <row r="1873">
      <c r="A1873" s="3" t="inlineStr">
        <is>
          <t>LCDH 02/BK</t>
        </is>
      </c>
      <c r="B1873" s="2" t="inlineStr">
        <is>
          <t>Home LCDH 02/BK fali tartó, hangfalakhoz, max. 15 kg teherbírású, 2 ponton forgatható tartókar, alumíniumöntvény konstrukció, tartozék szerelvények</t>
        </is>
      </c>
      <c r="C1873" s="1" t="n">
        <v>8990.0</v>
      </c>
      <c r="D1873" s="7" t="n">
        <f>HYPERLINK("https://www.somogyi.hu/product/home-lcdh-02-bk-fali-tarto-hangfalakhoz-max-15-kg-teherbirasu-2-ponton-forgathato-tartokar-aluminiumontveny-konstrukcio-tartozek-szerelvenyek-lcdh-02-bk-14433","https://www.somogyi.hu/product/home-lcdh-02-bk-fali-tarto-hangfalakhoz-max-15-kg-teherbirasu-2-ponton-forgathato-tartokar-aluminiumontveny-konstrukcio-tartozek-szerelvenyek-lcdh-02-bk-14433")</f>
        <v>0.0</v>
      </c>
      <c r="E1873" s="7" t="n">
        <f>HYPERLINK("https://www.somogyi.hu/data/img/product_main_images/small/14433.jpg","https://www.somogyi.hu/data/img/product_main_images/small/14433.jpg")</f>
        <v>0.0</v>
      </c>
      <c r="F1873" s="2" t="inlineStr">
        <is>
          <t>5999084924812</t>
        </is>
      </c>
      <c r="G1873" s="4" t="inlineStr">
        <is>
          <t>Egy praktikus fali tartót keres? Ez esetben a LCDH 02/BK garantáltan ideális választás lesz Önnek!  A fali tartó 2 ponton forgatható tartókarral rendelkezik. Az ezüst színű polc összesen 15 kg súlyig terhelhető. Az alaplap kialakítása a VESA szabvány szerint került sor. Válassza a minőségi termékeket és rendeljen webáruházunkból.</t>
        </is>
      </c>
    </row>
    <row r="1874">
      <c r="A1874" s="3" t="inlineStr">
        <is>
          <t>LCDH STAND</t>
        </is>
      </c>
      <c r="B1874" s="2" t="inlineStr">
        <is>
          <t>Home LCDH STAND LCD/LED TV álló tartó, 49” - 70” képernyőméretig, max. 40 kg teherbírás, gumitalpak, acél alapanyag, fali rögzítő elemek</t>
        </is>
      </c>
      <c r="C1874" s="1" t="n">
        <v>18290.0</v>
      </c>
      <c r="D1874" s="7" t="n">
        <f>HYPERLINK("https://www.somogyi.hu/product/home-lcdh-stand-lcd-led-tv-allo-tarto-49-70-kepernyomeretig-max-40-kg-teherbiras-gumitalpak-acel-alapanyag-fali-rogzito-elemek-lcdh-stand-16928","https://www.somogyi.hu/product/home-lcdh-stand-lcd-led-tv-allo-tarto-49-70-kepernyomeretig-max-40-kg-teherbiras-gumitalpak-acel-alapanyag-fali-rogzito-elemek-lcdh-stand-16928")</f>
        <v>0.0</v>
      </c>
      <c r="E1874" s="7" t="n">
        <f>HYPERLINK("https://www.somogyi.hu/data/img/product_main_images/small/16928.jpg","https://www.somogyi.hu/data/img/product_main_images/small/16928.jpg")</f>
        <v>0.0</v>
      </c>
      <c r="F1874" s="2" t="inlineStr">
        <is>
          <t>5999084949600</t>
        </is>
      </c>
      <c r="G1874" s="4" t="inlineStr">
        <is>
          <t>Az Álló tartó 49"-70", fix, acél szerkezetű álló konzol tökéletesen stabilan rögzítheti és tartja a rá helyezett LCD és LED TV-t.
Az állvány csúszásgátló gumitalpakkal rendelkezik, felborulást gátló biztonsági hevederrel ellátott. Fali rögzítő elemek is tartozékul szolgálnak. 
Terhelhetősége maximum 40 kg és 49" - 70" méretű képernyő rögzíthető biztonságosan.
Az LCD/LED TV tartó tárgyalások, előadások, szemléltető anyagának bemutatásakor elengedhetetlen kellékként szerepel.</t>
        </is>
      </c>
    </row>
    <row r="1875">
      <c r="A1875" s="3" t="inlineStr">
        <is>
          <t>LCDH 081</t>
        </is>
      </c>
      <c r="B1875" s="2" t="inlineStr">
        <is>
          <t>Home LCDH 081 LCD/LED TV fali tartó, 32”-55” képernyőméretig, max. 45 kg teherbírás, fix, tartozék rögzítő elemek</t>
        </is>
      </c>
      <c r="C1875" s="1" t="n">
        <v>4490.0</v>
      </c>
      <c r="D1875" s="7" t="n">
        <f>HYPERLINK("https://www.somogyi.hu/product/home-lcdh-081-lcd-led-tv-fali-tarto-32-55-kepernyomeretig-max-45-kg-teherbiras-fix-tartozek-rogzito-elemek-lcdh-081-18108","https://www.somogyi.hu/product/home-lcdh-081-lcd-led-tv-fali-tarto-32-55-kepernyomeretig-max-45-kg-teherbiras-fix-tartozek-rogzito-elemek-lcdh-081-18108")</f>
        <v>0.0</v>
      </c>
      <c r="E1875" s="7" t="n">
        <f>HYPERLINK("https://www.somogyi.hu/data/img/product_main_images/small/18108.jpg","https://www.somogyi.hu/data/img/product_main_images/small/18108.jpg")</f>
        <v>0.0</v>
      </c>
      <c r="F1875" s="2" t="inlineStr">
        <is>
          <t>5999084961305</t>
        </is>
      </c>
      <c r="G1875" s="4" t="inlineStr">
        <is>
          <t xml:space="preserve"> • alapanyaga: fém 
 • képernyőméret: 32" - 55" 
 • max. terhelés: 45 kg 
 • automata rögzítés, gyorskioldással: rugós, automata rögzítéssel 
 • VESA: 75x75,100x100,100x150,150x100,100x200,200x100,150x150,200x200,300x200,400x200,300x300,400x300,400x400 
 • tartozék: rögzítő elemek</t>
        </is>
      </c>
    </row>
    <row r="1876">
      <c r="A1876" s="3" t="inlineStr">
        <is>
          <t>LCDH 07</t>
        </is>
      </c>
      <c r="B1876" s="2" t="inlineStr">
        <is>
          <t>Fali tartó 23"-42", fix</t>
        </is>
      </c>
      <c r="C1876" s="1" t="n">
        <v>4390.0</v>
      </c>
      <c r="D1876" s="7" t="n">
        <f>HYPERLINK("https://www.somogyi.hu/product/fali-tarto-23-42-fix-lcdh-07-14590","https://www.somogyi.hu/product/fali-tarto-23-42-fix-lcdh-07-14590")</f>
        <v>0.0</v>
      </c>
      <c r="E1876" s="7" t="n">
        <f>HYPERLINK("https://www.somogyi.hu/data/img/product_main_images/small/14590.jpg","https://www.somogyi.hu/data/img/product_main_images/small/14590.jpg")</f>
        <v>0.0</v>
      </c>
      <c r="F1876" s="2" t="inlineStr">
        <is>
          <t>5999084926328</t>
        </is>
      </c>
      <c r="G1876" s="4" t="inlineStr">
        <is>
          <t>Egy praktikus LCD/LED fali tartót keres? Ez esetben a LCDH 07 garantáltan ideális választás lesz Önnek!  A fali tartó 23” – 42” képernyőméreteken alkalmazható. Előnye, hogy automata rögzítéssel, valamint gyorskioldó szalaggal lett ellátva a könnyű kezelhetőség érdekében. A tartó maximális teherbírása 30 kg.  Válassza a minőségi termékeket és rendeljen webáruházunkból.</t>
        </is>
      </c>
    </row>
    <row r="1877">
      <c r="A1877" s="3" t="inlineStr">
        <is>
          <t>LCDH 18</t>
        </is>
      </c>
      <c r="B1877" s="2" t="inlineStr">
        <is>
          <t>Home LCDH 18 LCD/LED TV fali tartó, 32”-55” képernyőméretig, max. 40 kg teherbírás, billenthető, beépített vízszintező, tartozék rögzítő elemek</t>
        </is>
      </c>
      <c r="C1877" s="1" t="n">
        <v>6690.0</v>
      </c>
      <c r="D1877" s="7" t="n">
        <f>HYPERLINK("https://www.somogyi.hu/product/home-lcdh-18-lcd-led-tv-fali-tarto-32-55-kepernyomeretig-max-40-kg-teherbiras-billentheto-beepitett-vizszintezo-tartozek-rogzito-elemek-lcdh-18-14588","https://www.somogyi.hu/product/home-lcdh-18-lcd-led-tv-fali-tarto-32-55-kepernyomeretig-max-40-kg-teherbiras-billentheto-beepitett-vizszintezo-tartozek-rogzito-elemek-lcdh-18-14588")</f>
        <v>0.0</v>
      </c>
      <c r="E1877" s="7" t="n">
        <f>HYPERLINK("https://www.somogyi.hu/data/img/product_main_images/small/14588.jpg","https://www.somogyi.hu/data/img/product_main_images/small/14588.jpg")</f>
        <v>0.0</v>
      </c>
      <c r="F1877" s="2" t="inlineStr">
        <is>
          <t>5999084926304</t>
        </is>
      </c>
      <c r="G1877" s="4" t="inlineStr">
        <is>
          <t>Stabil kialakítással rendelkező fali tartót szeretne vásárolni az LCD tévéjéhez? Ez esetben a LCDH 18 garantáltan ideális választás a 32” – 55” képernyőméretig. A tartó maximális teherbírása 40 kg.  A termék további előnye, hogy billenthető (+/- 12°), ennek köszönhetően garantáltan az ideális rálátása lesz a készülékre. Válassza a minőségi termékeket és rendeljen webáruházunkból.</t>
        </is>
      </c>
    </row>
    <row r="1878">
      <c r="A1878" s="3" t="inlineStr">
        <is>
          <t>LCDH 30</t>
        </is>
      </c>
      <c r="B1878" s="2" t="inlineStr">
        <is>
          <t>Home LCDH 30 LCD/LED TV fali tartó, 60” - 100” képernyőméretig, max. 75 kg teherbírás, automata rögzítés gyorskioldó, vízszintezővel, rögzítő elemek</t>
        </is>
      </c>
      <c r="C1878" s="1" t="n">
        <v>20490.0</v>
      </c>
      <c r="D1878" s="7" t="n">
        <f>HYPERLINK("https://www.somogyi.hu/product/home-lcdh-30-lcd-led-tv-fali-tarto-60-100-kepernyomeretig-max-75-kg-teherbiras-automata-rogzites-gyorskioldo-vizszintezovel-rogzito-elemek-lcdh-30-16544","https://www.somogyi.hu/product/home-lcdh-30-lcd-led-tv-fali-tarto-60-100-kepernyomeretig-max-75-kg-teherbiras-automata-rogzites-gyorskioldo-vizszintezovel-rogzito-elemek-lcdh-30-16544")</f>
        <v>0.0</v>
      </c>
      <c r="E1878" s="7" t="n">
        <f>HYPERLINK("https://www.somogyi.hu/data/img/product_main_images/small/16544.jpg","https://www.somogyi.hu/data/img/product_main_images/small/16544.jpg")</f>
        <v>0.0</v>
      </c>
      <c r="F1878" s="2" t="inlineStr">
        <is>
          <t>5999084945763</t>
        </is>
      </c>
      <c r="G1878" s="4" t="inlineStr">
        <is>
          <t>Az LCDH 30 TV fali tartó masszív, dönthető kialakítású. 60”-100” képernyő átmérőjű LCD és LED tévék falra szereléséhez alkalmas. Maximum 75 kg-ig terhelhető. 
Felszerelése rendkívül egyszerű a beépített vízszintezővel. A TV fali tartóra helyezését a rugós automata rögzítéssel és a gyorskioldó szalaggal könnyedén bárki elvégezheti. 
Tartozékként szállítjuk a fali rögzítő elemeket. 
VESA szabvány (készülék hátoldalán lévő szerelőnyílások függőleges és vízszintes távolság):
200x200, 300x200, 300x300, 400x200, 400x300, 400x400, 600x400, 600x600, 800x600, 900x600</t>
        </is>
      </c>
    </row>
    <row r="1879">
      <c r="A1879" s="3" t="inlineStr">
        <is>
          <t>LCDH 33</t>
        </is>
      </c>
      <c r="B1879" s="2" t="inlineStr">
        <is>
          <t>Fali tartó 37"-80", FULL MOTION</t>
        </is>
      </c>
      <c r="C1879" s="1" t="n">
        <v>20490.0</v>
      </c>
      <c r="D1879" s="7" t="n">
        <f>HYPERLINK("https://www.somogyi.hu/product/fali-tarto-37-80-full-motion-lcdh-33-17893","https://www.somogyi.hu/product/fali-tarto-37-80-full-motion-lcdh-33-17893")</f>
        <v>0.0</v>
      </c>
      <c r="E1879" s="7" t="n">
        <f>HYPERLINK("https://www.somogyi.hu/data/img/product_main_images/small/17893.jpg","https://www.somogyi.hu/data/img/product_main_images/small/17893.jpg")</f>
        <v>0.0</v>
      </c>
      <c r="F1879" s="2" t="inlineStr">
        <is>
          <t>5999084959159</t>
        </is>
      </c>
      <c r="G1879" s="4" t="inlineStr">
        <is>
          <t xml:space="preserve"> • képernyőméret: 37"-80" 
 • max. terhelés: 45 kg 
 • billenthető: igen 
 • több irányban mozgatható: igen 
 • VESA: VESA 200x200, 200x300, 300x200, 200x400, 400x200, 300x300, 300x400, 400x300, 600x200, 400x400, 600x300, 600x400</t>
        </is>
      </c>
    </row>
    <row r="1880">
      <c r="A1880" s="6" t="inlineStr">
        <is>
          <t xml:space="preserve">   Lakáskiegészítő / Akkumulátortöltő, elemteszter</t>
        </is>
      </c>
      <c r="B1880" s="6" t="inlineStr">
        <is>
          <t/>
        </is>
      </c>
      <c r="C1880" s="6" t="inlineStr">
        <is>
          <t/>
        </is>
      </c>
      <c r="D1880" s="6" t="inlineStr">
        <is>
          <t/>
        </is>
      </c>
      <c r="E1880" s="6" t="inlineStr">
        <is>
          <t/>
        </is>
      </c>
      <c r="F1880" s="6" t="inlineStr">
        <is>
          <t/>
        </is>
      </c>
      <c r="G1880" s="6" t="inlineStr">
        <is>
          <t/>
        </is>
      </c>
    </row>
    <row r="1881">
      <c r="A1881" s="3" t="inlineStr">
        <is>
          <t>ET 3</t>
        </is>
      </c>
      <c r="B1881" s="2" t="inlineStr">
        <is>
          <t>Home ET 3 elemteszter, gombelemek, rúdelemek és 9 V-os telepek ellenőrzéséhez, egyszerű és gyors, áttekinthető kezelés</t>
        </is>
      </c>
      <c r="C1881" s="1" t="n">
        <v>2390.0</v>
      </c>
      <c r="D1881" s="7" t="n">
        <f>HYPERLINK("https://www.somogyi.hu/product/home-et-3-elemteszter-gombelemek-rudelemek-es-9-v-os-telepek-ellenorzesehez-egyszeru-es-gyors-attekintheto-kezeles-et-3-11998","https://www.somogyi.hu/product/home-et-3-elemteszter-gombelemek-rudelemek-es-9-v-os-telepek-ellenorzesehez-egyszeru-es-gyors-attekintheto-kezeles-et-3-11998")</f>
        <v>0.0</v>
      </c>
      <c r="E1881" s="7" t="n">
        <f>HYPERLINK("https://www.somogyi.hu/data/img/product_main_images/small/11998.jpg","https://www.somogyi.hu/data/img/product_main_images/small/11998.jpg")</f>
        <v>0.0</v>
      </c>
      <c r="F1881" s="2" t="inlineStr">
        <is>
          <t>5999084902100</t>
        </is>
      </c>
      <c r="G1881" s="4" t="inlineStr">
        <is>
          <t>Az ET 3-as típusú elemteszter alkalmas a rúdelemek és 9 V-os telepek ellenőrzésére. A készülék előnye, hogy könnyen áttekinthető, valamint gyorsan és egyszerűen kezelhető. Feszültsége: 1,5 V / 9 V max. (AG, AAA, AA, C, D, 6LR61). A termék mérete: 110 x 60 x 25 mm. Válassza a minőségi termékeket és rendeljen webáruházunkból.</t>
        </is>
      </c>
    </row>
    <row r="1882">
      <c r="A1882" s="3" t="inlineStr">
        <is>
          <t>SBC 2</t>
        </is>
      </c>
      <c r="B1882" s="2" t="inlineStr">
        <is>
          <t>Home SBC 2 akkumulátortöltő, Li-ion és Ni-Mh akkumulátorok töltésére, rövidzárlat elleni védelem, powerbank funkció, fordított polaritás érzékelés</t>
        </is>
      </c>
      <c r="C1882" s="1" t="n">
        <v>7690.0</v>
      </c>
      <c r="D1882" s="7" t="n">
        <f>HYPERLINK("https://www.somogyi.hu/product/home-sbc-2-akkumulatortolto-li-ion-es-ni-mh-akkumulatorok-toltesere-rovidzarlat-elleni-vedelem-powerbank-funkcio-forditott-polaritas-erzekeles-sbc-2-17947","https://www.somogyi.hu/product/home-sbc-2-akkumulatortolto-li-ion-es-ni-mh-akkumulatorok-toltesere-rovidzarlat-elleni-vedelem-powerbank-funkcio-forditott-polaritas-erzekeles-sbc-2-17947")</f>
        <v>0.0</v>
      </c>
      <c r="E1882" s="7" t="n">
        <f>HYPERLINK("https://www.somogyi.hu/data/img/product_main_images/small/17947.jpg","https://www.somogyi.hu/data/img/product_main_images/small/17947.jpg")</f>
        <v>0.0</v>
      </c>
      <c r="F1882" s="2" t="inlineStr">
        <is>
          <t>5999084959692</t>
        </is>
      </c>
      <c r="G1882" s="4" t="inlineStr">
        <is>
          <t>Ön is unja már, hogy folyton lemerülnek az akkumulátorai? Az SBC 2 Akkumulátortöltő megoldást kínál erre!
Ez a kompakt és hatékony töltő ideális választás Li-ion és Ni Mh akkumulátorok töltéséhez. A HOME SBC 2 nem csupán egy egyszerű töltő, hanem számos védelmi funkcióval is rendelkezik. Rövidzárlat elleni védelemmel és túlfeszültség elleni védelemmel rendelkezik, így biztonságosan töltheti az akkumulátorokat. Emellett fordított polaritás érzékeléssel is fel van szerelve, ami megelőzi a helytelen csatlakozást.
A SBC 2 akkumulátortöltő könnyen használható, hiszen a tápellátását egy microUSB vezeték biztosítja, ami a csomag része. A töltő kompatibilis a következő Li-ion és Ni-Mh/Ni-Cd akkumulátorokkal: Li-ion 3,7 V: 10400, 14500, 16340, 17670, 18350, 18500, 18650, 26650, valamint Ni-MH/Ni-Cd 3,7 V: AA, AAA, AAAA, C. A töltőáram könnyen állítható az akkumulátor típusának és számának megfelelően.
Ezen kívül a SBC 2 akkumulátortöltő rendelkezik powerbank funkcióval is, így mobil eszközeit is feltöltheti vele. A töltő kompakt mérete 131 x 68,2 x 38,5 mm, és mindössze 109 g súlyú, így könnyedén hordozhatja magával.
Ne maradjon le erről a kiváló lehetőségről, és szerezze be az SBC 2 akkumulátortöltőt még ma!</t>
        </is>
      </c>
    </row>
    <row r="1883">
      <c r="A1883" s="6" t="inlineStr">
        <is>
          <t xml:space="preserve">   Lakáskiegészítő / Akkumulátor</t>
        </is>
      </c>
      <c r="B1883" s="6" t="inlineStr">
        <is>
          <t/>
        </is>
      </c>
      <c r="C1883" s="6" t="inlineStr">
        <is>
          <t/>
        </is>
      </c>
      <c r="D1883" s="6" t="inlineStr">
        <is>
          <t/>
        </is>
      </c>
      <c r="E1883" s="6" t="inlineStr">
        <is>
          <t/>
        </is>
      </c>
      <c r="F1883" s="6" t="inlineStr">
        <is>
          <t/>
        </is>
      </c>
      <c r="G1883" s="6" t="inlineStr">
        <is>
          <t/>
        </is>
      </c>
    </row>
    <row r="1884">
      <c r="A1884" s="3" t="inlineStr">
        <is>
          <t>RT 1280</t>
        </is>
      </c>
      <c r="B1884" s="2" t="inlineStr">
        <is>
          <t xml:space="preserve">Ritar RT 1280 ólomakkumulátor, 12V/8 Ah, 5 éves élettartam, zárt konstrukció, </t>
        </is>
      </c>
      <c r="C1884" s="1" t="n">
        <v>12990.0</v>
      </c>
      <c r="D1884" s="7" t="n">
        <f>HYPERLINK("https://www.somogyi.hu/product/ritar-rt-1280-olomakkumulator-12v-8-ah-5-eves-elettartam-zart-konstrukcio-rt-1280-17597","https://www.somogyi.hu/product/ritar-rt-1280-olomakkumulator-12v-8-ah-5-eves-elettartam-zart-konstrukcio-rt-1280-17597")</f>
        <v>0.0</v>
      </c>
      <c r="E1884" s="7" t="n">
        <f>HYPERLINK("https://www.somogyi.hu/data/img/product_main_images/small/17597.jpg","https://www.somogyi.hu/data/img/product_main_images/small/17597.jpg")</f>
        <v>0.0</v>
      </c>
      <c r="F1884" s="2" t="inlineStr">
        <is>
          <t>5999084956196</t>
        </is>
      </c>
      <c r="G1884"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V/8,0 Ah. Mérete: 151 x 65 x 100 mm. Válassza a minőségi termékeket és rendeljen webáruházunkból.</t>
        </is>
      </c>
    </row>
    <row r="1885">
      <c r="A1885" s="3" t="inlineStr">
        <is>
          <t>56733</t>
        </is>
      </c>
      <c r="B1885" s="2" t="inlineStr">
        <is>
          <t>VARTA 56733 akkumulátor AAA, NiMH akkumulátor, mini ceruza, 550 mAh kapacitás, 2 db/csomag</t>
        </is>
      </c>
      <c r="C1885" s="1" t="n">
        <v>1350.0</v>
      </c>
      <c r="D1885" s="7" t="n">
        <f>HYPERLINK("https://www.somogyi.hu/product/varta-56733-akkumulator-aaa-nimh-akkumulator-mini-ceruza-550-mah-kapacitas-2-db-csomag-56733-17894","https://www.somogyi.hu/product/varta-56733-akkumulator-aaa-nimh-akkumulator-mini-ceruza-550-mah-kapacitas-2-db-csomag-56733-17894")</f>
        <v>0.0</v>
      </c>
      <c r="E1885" s="7" t="n">
        <f>HYPERLINK("https://www.somogyi.hu/data/img/product_main_images/small/17894.jpg","https://www.somogyi.hu/data/img/product_main_images/small/17894.jpg")</f>
        <v>0.0</v>
      </c>
      <c r="F1885" s="2" t="inlineStr">
        <is>
          <t>4008496808083</t>
        </is>
      </c>
      <c r="G1885" s="4" t="inlineStr">
        <is>
          <t xml:space="preserve"> • akkumulátortechnológia: NiMH 
 • kapacitás: 550 mAh 
 • méret: AAA 
 • csomagolási egység: 2 db / bliszter 
 • egyéb információ: Az ár 1 db akkumulátorra vonatkozik.</t>
        </is>
      </c>
    </row>
    <row r="1886">
      <c r="A1886" s="3" t="inlineStr">
        <is>
          <t>M 302AAA</t>
        </is>
      </c>
      <c r="B1886" s="2" t="inlineStr">
        <is>
          <t>Home M 302AAA tölthető akkumulátor, NiMH, AAA, 300 mAh, 2 db</t>
        </is>
      </c>
      <c r="C1886" s="1" t="n">
        <v>429.0</v>
      </c>
      <c r="D1886" s="7" t="n">
        <f>HYPERLINK("https://www.somogyi.hu/product/home-m-302aaa-toltheto-akkumulator-nimh-aaa-300-mah-2-db-m-302aaa-17950","https://www.somogyi.hu/product/home-m-302aaa-toltheto-akkumulator-nimh-aaa-300-mah-2-db-m-302aaa-17950")</f>
        <v>0.0</v>
      </c>
      <c r="E1886" s="7" t="n">
        <f>HYPERLINK("https://www.somogyi.hu/data/img/product_main_images/small/17950.jpg","https://www.somogyi.hu/data/img/product_main_images/small/17950.jpg")</f>
        <v>0.0</v>
      </c>
      <c r="F1886" s="2" t="inlineStr">
        <is>
          <t>5999084959722</t>
        </is>
      </c>
      <c r="G1886" s="4" t="inlineStr">
        <is>
          <t>M 302AAA tölthető akkumulátorral gazdaságosabban és környezetbarát módon használhatja készülékeit. Nem kell lemerülés után kidobnia, hiszen akár több százszor is újratöltheti őket. A csomagolás 2 db 1,2 V/300 mAh AAA méretű Ni-Mh akkumulátor terméket tartalmaz.</t>
        </is>
      </c>
    </row>
    <row r="1887">
      <c r="A1887" s="3" t="inlineStr">
        <is>
          <t>M 700AAA</t>
        </is>
      </c>
      <c r="B1887" s="2" t="inlineStr">
        <is>
          <t>Home M 700AAA akkumulátor AAA, NiMH akkumulátor, mini ceruza, 1,2V 700 mAh kapacitás, 4 db/csomag</t>
        </is>
      </c>
      <c r="C1887" s="1" t="n">
        <v>2590.0</v>
      </c>
      <c r="D1887" s="7" t="n">
        <f>HYPERLINK("https://www.somogyi.hu/product/home-m-700aaa-akkumulator-aaa-nimh-akkumulator-mini-ceruza-1-2v-700-mah-kapacitas-4-db-csomag-m-700aaa-4675","https://www.somogyi.hu/product/home-m-700aaa-akkumulator-aaa-nimh-akkumulator-mini-ceruza-1-2v-700-mah-kapacitas-4-db-csomag-m-700aaa-4675")</f>
        <v>0.0</v>
      </c>
      <c r="E1887" s="7" t="n">
        <f>HYPERLINK("https://www.somogyi.hu/data/img/product_main_images/small/04675.jpg","https://www.somogyi.hu/data/img/product_main_images/small/04675.jpg")</f>
        <v>0.0</v>
      </c>
      <c r="F1887" s="2" t="inlineStr">
        <is>
          <t>5998312741269</t>
        </is>
      </c>
      <c r="G1887" s="4" t="inlineStr">
        <is>
          <t>A NiMH akkumulátorok számtalan termék tápellátását biztosítják, amelyek közül kifejezetten ideális megoldást nyújtanak a gyermekjátékok számára. Az M 700AAA NiMH akkumulátor feszültsége/ teljesítménye: 1,2 V/700 mAh. Mérete: mini ceruza (AAA). A termék tartalma: 4 db/bliszter. Válassza a minőségi termékeket és rendeljen webáruházunkból!</t>
        </is>
      </c>
    </row>
    <row r="1888">
      <c r="A1888" s="3" t="inlineStr">
        <is>
          <t>M 702AA</t>
        </is>
      </c>
      <c r="B1888" s="2" t="inlineStr">
        <is>
          <t>Home M 702AA tölthető akkumulátor, NiMH, AA, 700 mAh, 2 db</t>
        </is>
      </c>
      <c r="C1888" s="1" t="n">
        <v>729.0</v>
      </c>
      <c r="D1888" s="7" t="n">
        <f>HYPERLINK("https://www.somogyi.hu/product/home-m-702aa-toltheto-akkumulator-nimh-aa-700-mah-2-db-m-702aa-17951","https://www.somogyi.hu/product/home-m-702aa-toltheto-akkumulator-nimh-aa-700-mah-2-db-m-702aa-17951")</f>
        <v>0.0</v>
      </c>
      <c r="E1888" s="7" t="n">
        <f>HYPERLINK("https://www.somogyi.hu/data/img/product_main_images/small/17951.jpg","https://www.somogyi.hu/data/img/product_main_images/small/17951.jpg")</f>
        <v>0.0</v>
      </c>
      <c r="F1888" s="2" t="inlineStr">
        <is>
          <t>5999084959739</t>
        </is>
      </c>
      <c r="G1888" s="4" t="inlineStr">
        <is>
          <t>M 702AA tölthető akkumulátorral gazdaságosabban és környezetbarát módon használhatja készülékeit. Nem kell lemerülés után kidobnia, hiszen akár több százszor is újratöltheti őket. A csomagolás 2 db 1,2 V/700 mAh AA méretű Ni-Mh akkumulátor terméket tartalmaz.</t>
        </is>
      </c>
    </row>
    <row r="1889">
      <c r="A1889" s="3" t="inlineStr">
        <is>
          <t>RT 12120</t>
        </is>
      </c>
      <c r="B1889" s="2" t="inlineStr">
        <is>
          <t xml:space="preserve">Ritar RT 12120 ólomakkumulátor, 12V/12 Ah, 5 éves élettartam, zárt konstrukció, </t>
        </is>
      </c>
      <c r="C1889" s="1" t="n">
        <v>20790.0</v>
      </c>
      <c r="D1889" s="7" t="n">
        <f>HYPERLINK("https://www.somogyi.hu/product/ritar-rt-12120-olomakkumulator-12v-12-ah-5-eves-elettartam-zart-konstrukcio-rt-12120-8521","https://www.somogyi.hu/product/ritar-rt-12120-olomakkumulator-12v-12-ah-5-eves-elettartam-zart-konstrukcio-rt-12120-8521")</f>
        <v>0.0</v>
      </c>
      <c r="E1889" s="7" t="n">
        <f>HYPERLINK("https://www.somogyi.hu/data/img/product_main_images/small/08521.jpg","https://www.somogyi.hu/data/img/product_main_images/small/08521.jpg")</f>
        <v>0.0</v>
      </c>
      <c r="F1889" s="2" t="inlineStr">
        <is>
          <t>5998312774175</t>
        </is>
      </c>
      <c r="G1889"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V/12 Ah. Mérete: 151 x 98 x 95 mm. Válassza a minőségi termékeket és rendeljen webáruházunkból.</t>
        </is>
      </c>
    </row>
    <row r="1890">
      <c r="A1890" s="3" t="inlineStr">
        <is>
          <t>RT 1245E</t>
        </is>
      </c>
      <c r="B1890" s="2" t="inlineStr">
        <is>
          <t xml:space="preserve">Ritar RT 1245E ólomakkumulátor, 12V/4,5 Ah, 5 éves élettartam, zárt konstrukció, </t>
        </is>
      </c>
      <c r="C1890" s="1" t="n">
        <v>8390.0</v>
      </c>
      <c r="D1890" s="7" t="n">
        <f>HYPERLINK("https://www.somogyi.hu/product/ritar-rt-1245e-olomakkumulator-12v-4-5-ah-5-eves-elettartam-zart-konstrukcio-rt-1245e-8519","https://www.somogyi.hu/product/ritar-rt-1245e-olomakkumulator-12v-4-5-ah-5-eves-elettartam-zart-konstrukcio-rt-1245e-8519")</f>
        <v>0.0</v>
      </c>
      <c r="E1890" s="7" t="n">
        <f>HYPERLINK("https://www.somogyi.hu/data/img/product_main_images/small/08519.jpg","https://www.somogyi.hu/data/img/product_main_images/small/08519.jpg")</f>
        <v>0.0</v>
      </c>
      <c r="F1890" s="2" t="inlineStr">
        <is>
          <t>5998312774151</t>
        </is>
      </c>
      <c r="G1890"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V/4,5 Ah. Mérete: 90 x 70 x 101 mm. Válassza a minőségi termékeket és rendeljen webáruházunkból.</t>
        </is>
      </c>
    </row>
    <row r="1891">
      <c r="A1891" s="3" t="inlineStr">
        <is>
          <t>56736</t>
        </is>
      </c>
      <c r="B1891" s="2" t="inlineStr">
        <is>
          <t>VARTA 56736 akkumulátor AA, NiMH akkumulátor, ceruza, 800 mAh kapacitás, 2 db/csomag</t>
        </is>
      </c>
      <c r="C1891" s="1" t="n">
        <v>1050.0</v>
      </c>
      <c r="D1891" s="7" t="n">
        <f>HYPERLINK("https://www.somogyi.hu/product/varta-56736-akkumulator-aa-nimh-akkumulator-ceruza-800-mah-kapacitas-2-db-csomag-56736-17896","https://www.somogyi.hu/product/varta-56736-akkumulator-aa-nimh-akkumulator-ceruza-800-mah-kapacitas-2-db-csomag-56736-17896")</f>
        <v>0.0</v>
      </c>
      <c r="E1891" s="7" t="n">
        <f>HYPERLINK("https://www.somogyi.hu/data/img/product_main_images/small/17896.jpg","https://www.somogyi.hu/data/img/product_main_images/small/17896.jpg")</f>
        <v>0.0</v>
      </c>
      <c r="F1891" s="2" t="inlineStr">
        <is>
          <t>4008496658688</t>
        </is>
      </c>
      <c r="G1891" s="4" t="inlineStr">
        <is>
          <t xml:space="preserve"> • akkumulátortechnológia: NiMH 
 • kapacitás: 800 mAh 
 • méret: AA 
 • csomagolási egység: 2 db / bliszter 
 • jellemzők: ideális szolár termékekbe 
 • egyéb információ: Az ár 1 db akkumulátorra vonatkozik.</t>
        </is>
      </c>
    </row>
    <row r="1892">
      <c r="A1892" s="3" t="inlineStr">
        <is>
          <t>RT 645</t>
        </is>
      </c>
      <c r="B1892" s="2" t="inlineStr">
        <is>
          <t xml:space="preserve">Ritar RT 645 ólomakkumulátor, 6V/4,5 Ah, 5 éves élettartam, zárt konstrukció, </t>
        </is>
      </c>
      <c r="C1892" s="1" t="n">
        <v>5190.0</v>
      </c>
      <c r="D1892" s="7" t="n">
        <f>HYPERLINK("https://www.somogyi.hu/product/ritar-rt-645-olomakkumulator-6v-4-5-ah-5-eves-elettartam-zart-konstrukcio-rt-645-8515","https://www.somogyi.hu/product/ritar-rt-645-olomakkumulator-6v-4-5-ah-5-eves-elettartam-zart-konstrukcio-rt-645-8515")</f>
        <v>0.0</v>
      </c>
      <c r="E1892" s="7" t="n">
        <f>HYPERLINK("https://www.somogyi.hu/data/img/product_main_images/small/08515.jpg","https://www.somogyi.hu/data/img/product_main_images/small/08515.jpg")</f>
        <v>0.0</v>
      </c>
      <c r="F1892" s="2" t="inlineStr">
        <is>
          <t>5998312774120</t>
        </is>
      </c>
      <c r="G1892"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6 V/4,5 Ah. Mérete: 70 x 47 x 101 mm. Válassza a minőségi termékeket és rendeljen webáruházunkból.</t>
        </is>
      </c>
    </row>
    <row r="1893">
      <c r="A1893" s="3" t="inlineStr">
        <is>
          <t>56706</t>
        </is>
      </c>
      <c r="B1893" s="2" t="inlineStr">
        <is>
          <t>VARTA 56706 akkumulátor AA, NiMH akkumulátor, ceruza, 2100 mAh kapacitás, RTU - feltöltött és használatra kész, 4 db/csomag</t>
        </is>
      </c>
      <c r="C1893" s="1" t="n">
        <v>1690.0</v>
      </c>
      <c r="D1893" s="7" t="n">
        <f>HYPERLINK("https://www.somogyi.hu/product/varta-56706-akkumulator-aa-nimh-akkumulator-ceruza-2100-mah-kapacitas-rtu-feltoltott-es-hasznalatra-kesz-4-db-csomag-56706-17897","https://www.somogyi.hu/product/varta-56706-akkumulator-aa-nimh-akkumulator-ceruza-2100-mah-kapacitas-rtu-feltoltott-es-hasznalatra-kesz-4-db-csomag-56706-17897")</f>
        <v>0.0</v>
      </c>
      <c r="E1893" s="7" t="n">
        <f>HYPERLINK("https://www.somogyi.hu/data/img/product_main_images/small/17897.jpg","https://www.somogyi.hu/data/img/product_main_images/small/17897.jpg")</f>
        <v>0.0</v>
      </c>
      <c r="F1893" s="2" t="inlineStr">
        <is>
          <t>4008496550692</t>
        </is>
      </c>
      <c r="G1893" s="4" t="inlineStr">
        <is>
          <t xml:space="preserve"> • akkumulátortechnológia: NiMH RTU 
 • kapacitás: 2100 mAh 
 • méret: AA 
 • csomagolási egység: 4 db / bliszter 
 • egyéb információ: Az ár 1 db akkumulátorra vonatkozik.</t>
        </is>
      </c>
    </row>
    <row r="1894">
      <c r="A1894" s="3" t="inlineStr">
        <is>
          <t>5703</t>
        </is>
      </c>
      <c r="B1894" s="2" t="inlineStr">
        <is>
          <t>VARTA 5703 akkumulátor AAA, NiMH akkumulátor, mini ceruza, 1000 mAh kapacitás, RTU - feltöltött és használatra kész, 4 db/csomag</t>
        </is>
      </c>
      <c r="C1894" s="1" t="n">
        <v>1750.0</v>
      </c>
      <c r="D1894" s="7" t="n">
        <f>HYPERLINK("https://www.somogyi.hu/product/varta-5703-akkumulator-aaa-nimh-akkumulator-mini-ceruza-1000-mah-kapacitas-rtu-feltoltott-es-hasznalatra-kesz-4-db-csomag-5703-17895","https://www.somogyi.hu/product/varta-5703-akkumulator-aaa-nimh-akkumulator-mini-ceruza-1000-mah-kapacitas-rtu-feltoltott-es-hasznalatra-kesz-4-db-csomag-5703-17895")</f>
        <v>0.0</v>
      </c>
      <c r="E1894" s="7" t="n">
        <f>HYPERLINK("https://www.somogyi.hu/data/img/product_main_images/small/17895.jpg","https://www.somogyi.hu/data/img/product_main_images/small/17895.jpg")</f>
        <v>0.0</v>
      </c>
      <c r="F1894" s="2" t="inlineStr">
        <is>
          <t>4008496594375</t>
        </is>
      </c>
      <c r="G1894" s="4" t="inlineStr">
        <is>
          <t xml:space="preserve"> • 1000 mAh kapacitás 
 • NiMH 
 • RTU - Ready To Use - feltöltött és használatra kész 
 • 4 db / bliszter 
 • Az ár 1 db akkumulátorra vonatkozik.</t>
        </is>
      </c>
    </row>
    <row r="1895">
      <c r="A1895" s="6" t="inlineStr">
        <is>
          <t xml:space="preserve">   Lakáskiegészítő / Elem</t>
        </is>
      </c>
      <c r="B1895" s="6" t="inlineStr">
        <is>
          <t/>
        </is>
      </c>
      <c r="C1895" s="6" t="inlineStr">
        <is>
          <t/>
        </is>
      </c>
      <c r="D1895" s="6" t="inlineStr">
        <is>
          <t/>
        </is>
      </c>
      <c r="E1895" s="6" t="inlineStr">
        <is>
          <t/>
        </is>
      </c>
      <c r="F1895" s="6" t="inlineStr">
        <is>
          <t/>
        </is>
      </c>
      <c r="G1895" s="6" t="inlineStr">
        <is>
          <t/>
        </is>
      </c>
    </row>
    <row r="1896">
      <c r="A1896" s="3" t="inlineStr">
        <is>
          <t>VARTA CR2430</t>
        </is>
      </c>
      <c r="B1896" s="2" t="inlineStr">
        <is>
          <t>VARTA CR2430 gombelem, lítium, CR2430, 3V, 1 db/csomag</t>
        </is>
      </c>
      <c r="C1896" s="1" t="n">
        <v>799.0</v>
      </c>
      <c r="D1896" s="7" t="n">
        <f>HYPERLINK("https://www.somogyi.hu/product/varta-cr2430-gombelem-litium-cr2430-3v-1-db-csomag-varta-cr2430-16406","https://www.somogyi.hu/product/varta-cr2430-gombelem-litium-cr2430-3v-1-db-csomag-varta-cr2430-16406")</f>
        <v>0.0</v>
      </c>
      <c r="E1896" s="7" t="n">
        <f>HYPERLINK("https://www.somogyi.hu/data/img/product_main_images/small/16406.jpg","https://www.somogyi.hu/data/img/product_main_images/small/16406.jpg")</f>
        <v>0.0</v>
      </c>
      <c r="F1896" s="2" t="inlineStr">
        <is>
          <t>4008496276929</t>
        </is>
      </c>
      <c r="G1896" s="4" t="inlineStr">
        <is>
          <t>A VARTA CR2430 Lítium gombelem számos termék tápellátását biztosíthatja, amely CR2430 típusú gomb elemmel üzemeltethető. 
Az elem teljesítménye 3 V. Mérete: gombelem (CR2430).
A bliszter 1 db elemet tartalmaz.</t>
        </is>
      </c>
    </row>
    <row r="1897">
      <c r="A1897" s="3" t="inlineStr">
        <is>
          <t>Maxell R6</t>
        </is>
      </c>
      <c r="B1897" s="2" t="inlineStr">
        <is>
          <t>Maxell R6 AA elem, féltartós, ceruza, 1,5V, 4 db/csomag</t>
        </is>
      </c>
      <c r="C1897" s="1" t="n">
        <v>429.0</v>
      </c>
      <c r="D1897" s="7" t="n">
        <f>HYPERLINK("https://www.somogyi.hu/product/maxell-r6-aa-elem-feltartos-ceruza-1-5v-4-db-csomag-maxell-r6-16353","https://www.somogyi.hu/product/maxell-r6-aa-elem-feltartos-ceruza-1-5v-4-db-csomag-maxell-r6-16353")</f>
        <v>0.0</v>
      </c>
      <c r="E1897" s="7" t="n">
        <f>HYPERLINK("https://www.somogyi.hu/data/img/product_main_images/small/16353.jpg","https://www.somogyi.hu/data/img/product_main_images/small/16353.jpg")</f>
        <v>0.0</v>
      </c>
      <c r="F1897" s="2" t="inlineStr">
        <is>
          <t>4902580153403</t>
        </is>
      </c>
      <c r="G1897" s="4" t="inlineStr">
        <is>
          <t>A MAXELL R6 Féltartós elem számos termék tápellátását biztosíthatja, amely ceruza (AA) típusú elemmel funkcionál. Használja akár gyermekjátékok, fényfüzérek, csengők, elemlámpák üzemeltetéséhez. 
Az elem teljesítménye 1,5 V. Mérete: ceruza (AA). 
A csomag 4 db elemet tartalmaz.</t>
        </is>
      </c>
    </row>
    <row r="1898">
      <c r="A1898" s="3" t="inlineStr">
        <is>
          <t>LR03 24PK POWER PACK Maxell</t>
        </is>
      </c>
      <c r="B1898" s="2" t="inlineStr">
        <is>
          <t>Maxell LR03 24PK POWER PACK, AAA elemcsomag, 1,5V, 24 db/doboz</t>
        </is>
      </c>
      <c r="C1898" s="1" t="n">
        <v>4390.0</v>
      </c>
      <c r="D1898" s="7" t="n">
        <f>HYPERLINK("https://www.somogyi.hu/product/maxell-lr03-24pk-power-pack-aaa-elemcsomag-1-5v-24-db-doboz-lr03-24pk-power-pack-maxell-16294","https://www.somogyi.hu/product/maxell-lr03-24pk-power-pack-aaa-elemcsomag-1-5v-24-db-doboz-lr03-24pk-power-pack-maxell-16294")</f>
        <v>0.0</v>
      </c>
      <c r="E1898" s="7" t="n">
        <f>HYPERLINK("https://www.somogyi.hu/data/img/product_main_images/small/16294.jpg","https://www.somogyi.hu/data/img/product_main_images/small/16294.jpg")</f>
        <v>0.0</v>
      </c>
      <c r="F1898" s="2" t="inlineStr">
        <is>
          <t>4902580748357</t>
        </is>
      </c>
      <c r="G1898" s="4" t="inlineStr">
        <is>
          <t>A Maxell LR03 24PK POWER PACK Alkáli elem számos termék tápellátását biztosíthatja, amely mini ceruza (AAA) típusú elemmel funkcionál. Használja akár gyermekjátékok, fényfüzérek, csengők, elemlámpák üzemeltetéséhez. 
Az elem teljesítménye 1,5 V. Mérete: mini ceruza (AAA). 
A doboz 24 db elemet tartalmaz.</t>
        </is>
      </c>
    </row>
    <row r="1899">
      <c r="A1899" s="3" t="inlineStr">
        <is>
          <t>Maxell CR2025</t>
        </is>
      </c>
      <c r="B1899" s="2" t="inlineStr">
        <is>
          <t>Maxell CR2025 gombelem, lítium, 3V, 5 db/csomag</t>
        </is>
      </c>
      <c r="C1899" s="1" t="n">
        <v>339.0</v>
      </c>
      <c r="D1899" s="7" t="n">
        <f>HYPERLINK("https://www.somogyi.hu/product/maxell-cr2025-gombelem-litium-3v-5-db-csomag-maxell-cr2025-16364","https://www.somogyi.hu/product/maxell-cr2025-gombelem-litium-3v-5-db-csomag-maxell-cr2025-16364")</f>
        <v>0.0</v>
      </c>
      <c r="E1899" s="7" t="n">
        <f>HYPERLINK("https://www.somogyi.hu/data/img/product_main_images/small/16364.jpg","https://www.somogyi.hu/data/img/product_main_images/small/16364.jpg")</f>
        <v>0.0</v>
      </c>
      <c r="F1899" s="2" t="inlineStr">
        <is>
          <t>4902580131265</t>
        </is>
      </c>
      <c r="G1899" s="4" t="inlineStr">
        <is>
          <t>A MAXELL CR2025 Lítium gombelem számos termék tápellátását biztosíthatja, amely CR 2025 típusú gomb elemmel üzemeltethető. 
Az elem teljesítménye 3 V. Mérete: gombelem (CR2025).
A bliszter 5 db elemet tartalmaz.</t>
        </is>
      </c>
    </row>
    <row r="1900">
      <c r="A1900" s="3" t="inlineStr">
        <is>
          <t>Maxell SR626SW</t>
        </is>
      </c>
      <c r="B1900" s="2" t="inlineStr">
        <is>
          <t>Maxell SR626SW gombelem, ezüst-oxid, 1,55V, 1 db/csomag</t>
        </is>
      </c>
      <c r="C1900" s="1" t="n">
        <v>259.0</v>
      </c>
      <c r="D1900" s="7" t="n">
        <f>HYPERLINK("https://www.somogyi.hu/product/maxell-sr626sw-gombelem-ezust-oxid-1-55v-1-db-csomag-maxell-sr626sw-16595","https://www.somogyi.hu/product/maxell-sr626sw-gombelem-ezust-oxid-1-55v-1-db-csomag-maxell-sr626sw-16595")</f>
        <v>0.0</v>
      </c>
      <c r="E1900" s="7" t="n">
        <f>HYPERLINK("https://www.somogyi.hu/data/img/product_main_images/small/16595.jpg","https://www.somogyi.hu/data/img/product_main_images/small/16595.jpg")</f>
        <v>0.0</v>
      </c>
      <c r="F1900" s="2" t="inlineStr">
        <is>
          <t>4902580132248</t>
        </is>
      </c>
      <c r="G1900" s="4" t="inlineStr">
        <is>
          <t>A MAXELL SR626SW Ezüst- oxid gombelem számos termék tápellátását biztosíthatja, amely SR 626 SW típusú gomb elemmel üzemeltethető. 
Az elem teljesítménye 1,55 V. Mérete: gombelem (SR626SW).
A bliszter 10 db elemet tartalmaz.</t>
        </is>
      </c>
    </row>
    <row r="1901">
      <c r="A1901" s="3" t="inlineStr">
        <is>
          <t>Maxell LR03 4+2</t>
        </is>
      </c>
      <c r="B1901" s="2" t="inlineStr">
        <is>
          <t>Maxell LR03 4+2 AAA elem, alkáli, ceruza, 1,5V, 6 db/csomag</t>
        </is>
      </c>
      <c r="C1901" s="1" t="n">
        <v>1090.0</v>
      </c>
      <c r="D1901" s="7" t="n">
        <f>HYPERLINK("https://www.somogyi.hu/product/maxell-lr03-4-2-aaa-elem-alkali-ceruza-1-5v-6-db-csomag-maxell-lr03-4-2-16370","https://www.somogyi.hu/product/maxell-lr03-4-2-aaa-elem-alkali-ceruza-1-5v-6-db-csomag-maxell-lr03-4-2-16370")</f>
        <v>0.0</v>
      </c>
      <c r="E1901" s="7" t="n">
        <f>HYPERLINK("https://www.somogyi.hu/data/img/product_main_images/small/16370.jpg","https://www.somogyi.hu/data/img/product_main_images/small/16370.jpg")</f>
        <v>0.0</v>
      </c>
      <c r="F1901" s="2" t="inlineStr">
        <is>
          <t>4902580164461</t>
        </is>
      </c>
      <c r="G1901" s="4" t="inlineStr">
        <is>
          <t>A MAXELL LR03 4+2 Alkáli elem számos termék tápellátását biztosíthatja, amely mini ceruza (AAA) típusú elemmel funkcionál. Használja akár gyermekjátékok, fényfüzérek, csengők, elemlámpák üzemeltetéséhez. 
Az elem teljesítménye 1,5 V. Mérete: mini ceruza (AAA). 
A bliszter 6 db elemet tartalmaz.</t>
        </is>
      </c>
    </row>
    <row r="1902">
      <c r="A1902" s="3" t="inlineStr">
        <is>
          <t>Maxell LR20</t>
        </is>
      </c>
      <c r="B1902" s="2" t="inlineStr">
        <is>
          <t>Maxell LR20 D elem, féltartós, góliát, 1,5V, 2 db/csomag</t>
        </is>
      </c>
      <c r="C1902" s="1" t="n">
        <v>2190.0</v>
      </c>
      <c r="D1902" s="7" t="n">
        <f>HYPERLINK("https://www.somogyi.hu/product/maxell-lr20-d-elem-feltartos-goliat-1-5v-2-db-csomag-maxell-lr20-16357","https://www.somogyi.hu/product/maxell-lr20-d-elem-feltartos-goliat-1-5v-2-db-csomag-maxell-lr20-16357")</f>
        <v>0.0</v>
      </c>
      <c r="E1902" s="7" t="n">
        <f>HYPERLINK("https://www.somogyi.hu/data/img/product_main_images/small/16357.jpg","https://www.somogyi.hu/data/img/product_main_images/small/16357.jpg")</f>
        <v>0.0</v>
      </c>
      <c r="F1902" s="2" t="inlineStr">
        <is>
          <t>4902580161170</t>
        </is>
      </c>
      <c r="G1902" s="4" t="inlineStr">
        <is>
          <t>A MAXELL LR20 Alkáli elem számos termék tápellátását biztosíthatja, amely Góliát (D) típusú elemmel funkcionál. Használja akár gyermekjátékok, elemlámpák üzemeltetéséhez. 
Az elem teljesítménye 1,5 V. Mérete: Góliát (D). 
A bliszter 2 db elemet tartalmaz.</t>
        </is>
      </c>
    </row>
    <row r="1903">
      <c r="A1903" s="3" t="inlineStr">
        <is>
          <t>Maxell CR2016</t>
        </is>
      </c>
      <c r="B1903" s="2" t="inlineStr">
        <is>
          <t>Maxell CR2016 gombelem, lítium, 3V, 5 db/csomag</t>
        </is>
      </c>
      <c r="C1903" s="1" t="n">
        <v>339.0</v>
      </c>
      <c r="D1903" s="7" t="n">
        <f>HYPERLINK("https://www.somogyi.hu/product/maxell-cr2016-gombelem-litium-3v-5-db-csomag-maxell-cr2016-16363","https://www.somogyi.hu/product/maxell-cr2016-gombelem-litium-3v-5-db-csomag-maxell-cr2016-16363")</f>
        <v>0.0</v>
      </c>
      <c r="E1903" s="7" t="n">
        <f>HYPERLINK("https://www.somogyi.hu/data/img/product_main_images/small/16363.jpg","https://www.somogyi.hu/data/img/product_main_images/small/16363.jpg")</f>
        <v>0.0</v>
      </c>
      <c r="F1903" s="2" t="inlineStr">
        <is>
          <t>4902580131272</t>
        </is>
      </c>
      <c r="G1903" s="4" t="inlineStr">
        <is>
          <t>A MAXELL CR2016 Lítium gombelem számos termék tápellátását biztosíthatja, amely CR 2016 típusú gomb elemmel üzemeltethető. 
Az elem teljesítménye 3 V. Mérete: gombelem (CR2016).
A bliszter 5 db elemet tartalmaz.</t>
        </is>
      </c>
    </row>
    <row r="1904">
      <c r="A1904" s="3" t="inlineStr">
        <is>
          <t>Maxell CR2032</t>
        </is>
      </c>
      <c r="B1904" s="2" t="inlineStr">
        <is>
          <t>Maxell CR2032 gombelem, lítium, 3V, 5 db/csomag</t>
        </is>
      </c>
      <c r="C1904" s="1" t="n">
        <v>339.0</v>
      </c>
      <c r="D1904" s="7" t="n">
        <f>HYPERLINK("https://www.somogyi.hu/product/maxell-cr2032-gombelem-litium-3v-5-db-csomag-maxell-cr2032-16365","https://www.somogyi.hu/product/maxell-cr2032-gombelem-litium-3v-5-db-csomag-maxell-cr2032-16365")</f>
        <v>0.0</v>
      </c>
      <c r="E1904" s="7" t="n">
        <f>HYPERLINK("https://www.somogyi.hu/data/img/product_main_images/small/16365.jpg","https://www.somogyi.hu/data/img/product_main_images/small/16365.jpg")</f>
        <v>0.0</v>
      </c>
      <c r="F1904" s="2" t="inlineStr">
        <is>
          <t>4902580131258</t>
        </is>
      </c>
      <c r="G1904" s="4" t="inlineStr">
        <is>
          <t>A MAXELL CR2032 Lítium gombelem számos termék tápellátását biztosíthatja, amely CR2032 típusú gomb elemmel üzemeltethető. 
Az elem teljesítménye 3 V. Mérete: gombelem (CR2032).
A bliszter 5 db elemet tartalmaz.</t>
        </is>
      </c>
    </row>
    <row r="1905">
      <c r="A1905" s="3" t="inlineStr">
        <is>
          <t>VARTA 3R12</t>
        </is>
      </c>
      <c r="B1905" s="2" t="inlineStr">
        <is>
          <t>VARTA 3R12 laposelem, féltartós, laposelem, 4,5V, 1 db/csomag</t>
        </is>
      </c>
      <c r="C1905" s="1" t="n">
        <v>979.0</v>
      </c>
      <c r="D1905" s="7" t="n">
        <f>HYPERLINK("https://www.somogyi.hu/product/varta-3r12-laposelem-feltartos-laposelem-4-5v-1-db-csomag-varta-3r12-16401","https://www.somogyi.hu/product/varta-3r12-laposelem-feltartos-laposelem-4-5v-1-db-csomag-varta-3r12-16401")</f>
        <v>0.0</v>
      </c>
      <c r="E1905" s="7" t="n">
        <f>HYPERLINK("https://www.somogyi.hu/data/img/product_main_images/small/16401.jpg","https://www.somogyi.hu/data/img/product_main_images/small/16401.jpg")</f>
        <v>0.0</v>
      </c>
      <c r="F1905" s="2" t="inlineStr">
        <is>
          <t>4008496556595</t>
        </is>
      </c>
      <c r="G1905" s="4" t="inlineStr">
        <is>
          <t>A VARTA 3R12 Féltartós elem számos termék tápellátását biztosíthatja, amely (3R12) típusú lapos elemmel üzemeltethető.
Az elem teljesítménye 4,5 V. Mérete: Laposelem (3R12). 
A csomag 1 db elemet tartalmaz.</t>
        </is>
      </c>
    </row>
    <row r="1906">
      <c r="A1906" s="3" t="inlineStr">
        <is>
          <t>Maxell LR1</t>
        </is>
      </c>
      <c r="B1906" s="2" t="inlineStr">
        <is>
          <t>Maxell LR1 elem, alkáli, LR1, 1,5V, 5 db/csomag</t>
        </is>
      </c>
      <c r="C1906" s="1" t="n">
        <v>489.0</v>
      </c>
      <c r="D1906" s="7" t="n">
        <f>HYPERLINK("https://www.somogyi.hu/product/maxell-lr1-elem-alkali-lr1-1-5v-5-db-csomag-maxell-lr1-16399","https://www.somogyi.hu/product/maxell-lr1-elem-alkali-lr1-1-5v-5-db-csomag-maxell-lr1-16399")</f>
        <v>0.0</v>
      </c>
      <c r="E1906" s="7" t="n">
        <f>HYPERLINK("https://www.somogyi.hu/data/img/product_main_images/small/16399.jpg","https://www.somogyi.hu/data/img/product_main_images/small/16399.jpg")</f>
        <v>0.0</v>
      </c>
      <c r="F1906" s="2" t="inlineStr">
        <is>
          <t>4902580150266</t>
        </is>
      </c>
      <c r="G1906" s="4" t="inlineStr">
        <is>
          <t>A MAXELL LR1 Alkáli elem számos termék tápellátását biztosíthatja, amely LR 1 típusú elemmel funkcionál. Használja akár gyermekjátékok, elemlámpák üzemeltetéséhez. 
Az elem teljesítménye 1,5 V. Mérete: LR 1.</t>
        </is>
      </c>
    </row>
    <row r="1907">
      <c r="A1907" s="3" t="inlineStr">
        <is>
          <t>Maxell R20</t>
        </is>
      </c>
      <c r="B1907" s="2" t="inlineStr">
        <is>
          <t>Maxell R20 D elem,  féltartós, góliát, 1,5V, 2 db/csomag</t>
        </is>
      </c>
      <c r="C1907" s="1" t="n">
        <v>729.0</v>
      </c>
      <c r="D1907" s="7" t="n">
        <f>HYPERLINK("https://www.somogyi.hu/product/maxell-r20-d-elem-feltartos-goliat-1-5v-2-db-csomag-maxell-r20-16351","https://www.somogyi.hu/product/maxell-r20-d-elem-feltartos-goliat-1-5v-2-db-csomag-maxell-r20-16351")</f>
        <v>0.0</v>
      </c>
      <c r="E1907" s="7" t="n">
        <f>HYPERLINK("https://www.somogyi.hu/data/img/product_main_images/small/16351.jpg","https://www.somogyi.hu/data/img/product_main_images/small/16351.jpg")</f>
        <v>0.0</v>
      </c>
      <c r="F1907" s="2" t="inlineStr">
        <is>
          <t>4902580151171</t>
        </is>
      </c>
      <c r="G1907" s="4" t="inlineStr">
        <is>
          <t>A MAXELL R20 Féltartós elem számos termék tápellátását biztosíthatja, amely Góliát (D) típusú elemmel funkcionál. Használja akár gyermekjátékok, elemlámpák üzemeltetéséhez. 
Az elem teljesítménye 1,5 V. Mérete: Góliát (D). 
A csomag 2 db elemet tartalmaz.</t>
        </is>
      </c>
    </row>
    <row r="1908">
      <c r="A1908" s="3" t="inlineStr">
        <is>
          <t>Maxell LR14</t>
        </is>
      </c>
      <c r="B1908" s="2" t="inlineStr">
        <is>
          <t>Maxell LR14 C elem, alkáli, baby, 1,5V, 2 db/csomag</t>
        </is>
      </c>
      <c r="C1908" s="1" t="n">
        <v>1290.0</v>
      </c>
      <c r="D1908" s="7" t="n">
        <f>HYPERLINK("https://www.somogyi.hu/product/maxell-lr14-c-elem-alkali-baby-1-5v-2-db-csomag-maxell-lr14-16358","https://www.somogyi.hu/product/maxell-lr14-c-elem-alkali-baby-1-5v-2-db-csomag-maxell-lr14-16358")</f>
        <v>0.0</v>
      </c>
      <c r="E1908" s="7" t="n">
        <f>HYPERLINK("https://www.somogyi.hu/data/img/product_main_images/small/16358.jpg","https://www.somogyi.hu/data/img/product_main_images/small/16358.jpg")</f>
        <v>0.0</v>
      </c>
      <c r="F1908" s="2" t="inlineStr">
        <is>
          <t>4902580162184</t>
        </is>
      </c>
      <c r="G1908" s="4" t="inlineStr">
        <is>
          <t>A MAXELL LR14 Alkáli elem számos termék tápellátását biztosíthatja, amely Baby (C) típusú elemmel funkcionál. Használja akár gyermekjátékok, elemlámpák üzemeltetéséhez. 
Az elem teljesítménye 1,5 V. Mérete: Baby (C). 
A bliszter 2 db elemet tartalmaz.</t>
        </is>
      </c>
    </row>
    <row r="1909">
      <c r="A1909" s="3" t="inlineStr">
        <is>
          <t>Maxell LR44</t>
        </is>
      </c>
      <c r="B1909" s="2" t="inlineStr">
        <is>
          <t>Maxell LR44 gombelem, alkáli, LR44, 1,5V, 10 db/csomag</t>
        </is>
      </c>
      <c r="C1909" s="1" t="n">
        <v>169.0</v>
      </c>
      <c r="D1909" s="7" t="n">
        <f>HYPERLINK("https://www.somogyi.hu/product/maxell-lr44-gombelem-alkali-lr44-1-5v-10-db-csomag-maxell-lr44-16371","https://www.somogyi.hu/product/maxell-lr44-gombelem-alkali-lr44-1-5v-10-db-csomag-maxell-lr44-16371")</f>
        <v>0.0</v>
      </c>
      <c r="E1909" s="7" t="n">
        <f>HYPERLINK("https://www.somogyi.hu/data/img/product_main_images/small/16371.jpg","https://www.somogyi.hu/data/img/product_main_images/small/16371.jpg")</f>
        <v>0.0</v>
      </c>
      <c r="F1909" s="2" t="inlineStr">
        <is>
          <t>4902580131401</t>
        </is>
      </c>
      <c r="G1909" s="4" t="inlineStr">
        <is>
          <t>A MAXELL LR44 Alkáli gombelem számos termék tápellátását biztosíthatja, amely ilyen típusú elemmel üzemeltethető. 
Az elem teljesítménye 1,5 V. Mérete: gombelem (LR44).
A bliszter 10 db elemet tartalmaz.</t>
        </is>
      </c>
    </row>
    <row r="1910">
      <c r="A1910" s="3" t="inlineStr">
        <is>
          <t>LR6 24PK POWER PACK Maxell</t>
        </is>
      </c>
      <c r="B1910" s="2" t="inlineStr">
        <is>
          <t>Maxell LR6 24PK POWER PACK, AA elemcsomag, 1,5V, 24 db/doboz</t>
        </is>
      </c>
      <c r="C1910" s="1" t="n">
        <v>4390.0</v>
      </c>
      <c r="D1910" s="7" t="n">
        <f>HYPERLINK("https://www.somogyi.hu/product/maxell-lr6-24pk-power-pack-aa-elemcsomag-1-5v-24-db-doboz-lr6-24pk-power-pack-maxell-16293","https://www.somogyi.hu/product/maxell-lr6-24pk-power-pack-aa-elemcsomag-1-5v-24-db-doboz-lr6-24pk-power-pack-maxell-16293")</f>
        <v>0.0</v>
      </c>
      <c r="E1910" s="7" t="n">
        <f>HYPERLINK("https://www.somogyi.hu/data/img/product_main_images/small/16293.jpg","https://www.somogyi.hu/data/img/product_main_images/small/16293.jpg")</f>
        <v>0.0</v>
      </c>
      <c r="F1910" s="2" t="inlineStr">
        <is>
          <t>4902580748326</t>
        </is>
      </c>
      <c r="G1910" s="4" t="inlineStr">
        <is>
          <t>A Maxell LR6 24PK POWER PACK Alkáli elem számos termék tápellátását biztosíthatja, amely ceruza (AA) típusú elemmel funkcionál. Használja akár gyermekjátékok, fényfüzérek, csengők, elemlámpák üzemeltetéséhez. 
Az elem teljesítménye 1,5 V. Mérete: ceruza (AA). 
A doboz 24 db elemet tartalmaz.</t>
        </is>
      </c>
    </row>
    <row r="1911">
      <c r="A1911" s="3" t="inlineStr">
        <is>
          <t>Maxell R14</t>
        </is>
      </c>
      <c r="B1911" s="2" t="inlineStr">
        <is>
          <t>Maxell R14 C elem, féltartós, baby, 1,5V, 2 db/csomag</t>
        </is>
      </c>
      <c r="C1911" s="1" t="n">
        <v>549.0</v>
      </c>
      <c r="D1911" s="7" t="n">
        <f>HYPERLINK("https://www.somogyi.hu/product/maxell-r14-c-elem-feltartos-baby-1-5v-2-db-csomag-maxell-r14-16352","https://www.somogyi.hu/product/maxell-r14-c-elem-feltartos-baby-1-5v-2-db-csomag-maxell-r14-16352")</f>
        <v>0.0</v>
      </c>
      <c r="E1911" s="7" t="n">
        <f>HYPERLINK("https://www.somogyi.hu/data/img/product_main_images/small/16352.jpg","https://www.somogyi.hu/data/img/product_main_images/small/16352.jpg")</f>
        <v>0.0</v>
      </c>
      <c r="F1911" s="2" t="inlineStr">
        <is>
          <t>4902580152185</t>
        </is>
      </c>
      <c r="G1911" s="4" t="inlineStr">
        <is>
          <t>A MAXELL R14 Féltartós elem számos termék tápellátását biztosíthatja, amely Baby (C) típusú elemmel funkcionál. Használja akár gyermekjátékok, elemlámpák üzemeltetéséhez. 
Az elem teljesítménye 1,5 V. Mérete: Baby (C). 
A csomag 2 db elemet tartalmaz.</t>
        </is>
      </c>
    </row>
    <row r="1912">
      <c r="A1912" s="3" t="inlineStr">
        <is>
          <t>Maxell LR1130</t>
        </is>
      </c>
      <c r="B1912" s="2" t="inlineStr">
        <is>
          <t>Maxell LR1130 gombelem, LR1130, alkáli, 1,5V, 10 db/csomag</t>
        </is>
      </c>
      <c r="C1912" s="1" t="n">
        <v>169.0</v>
      </c>
      <c r="D1912" s="7" t="n">
        <f>HYPERLINK("https://www.somogyi.hu/product/maxell-lr1130-gombelem-lr1130-alkali-1-5v-10-db-csomag-maxell-lr1130-16398","https://www.somogyi.hu/product/maxell-lr1130-gombelem-lr1130-alkali-1-5v-10-db-csomag-maxell-lr1130-16398")</f>
        <v>0.0</v>
      </c>
      <c r="E1912" s="7" t="n">
        <f>HYPERLINK("https://www.somogyi.hu/data/img/product_main_images/small/16398.jpg","https://www.somogyi.hu/data/img/product_main_images/small/16398.jpg")</f>
        <v>0.0</v>
      </c>
      <c r="F1912" s="2" t="inlineStr">
        <is>
          <t>4902580131425</t>
        </is>
      </c>
      <c r="G1912" s="4" t="inlineStr">
        <is>
          <t>A MAXELL LR1130 Alkáli gombelem számos termék tápellátását biztosíthatja, amely LR1130 típusú gomb elemmel üzemeltethető. 
Az elem teljesítménye 1,5 V. Mérete: gombelem (LR1130).
A bliszter 10 db elemet tartalmaz.</t>
        </is>
      </c>
    </row>
    <row r="1913">
      <c r="A1913" s="3" t="inlineStr">
        <is>
          <t>Maxell R03</t>
        </is>
      </c>
      <c r="B1913" s="2" t="inlineStr">
        <is>
          <t>Maxell R03 AAA elem, féltartós, mini ceruza, 1,5V, 4 db/csomag</t>
        </is>
      </c>
      <c r="C1913" s="1" t="n">
        <v>489.0</v>
      </c>
      <c r="D1913" s="7" t="n">
        <f>HYPERLINK("https://www.somogyi.hu/product/maxell-r03-aaa-elem-feltartos-mini-ceruza-1-5v-4-db-csomag-maxell-r03-16355","https://www.somogyi.hu/product/maxell-r03-aaa-elem-feltartos-mini-ceruza-1-5v-4-db-csomag-maxell-r03-16355")</f>
        <v>0.0</v>
      </c>
      <c r="E1913" s="7" t="n">
        <f>HYPERLINK("https://www.somogyi.hu/data/img/product_main_images/small/16355.jpg","https://www.somogyi.hu/data/img/product_main_images/small/16355.jpg")</f>
        <v>0.0</v>
      </c>
      <c r="F1913" s="2" t="inlineStr">
        <is>
          <t>4902580154066</t>
        </is>
      </c>
      <c r="G1913" s="4" t="inlineStr">
        <is>
          <t>A MAXELL R03 Féltartós elem számos termék tápellátását biztosíthatja, amely mini ceruza (AAA) típusú elemmel funkcionál. Használja akár gyermekjátékok, fényfüzérek, csengők, elemlámpák üzemeltetéséhez. 
Az elem teljesítménye 1,5 V. Mérete: mini ceruza (AAA). 
A csomag 4 db elemet tartalmaz.</t>
        </is>
      </c>
    </row>
    <row r="1914">
      <c r="A1914" s="3" t="inlineStr">
        <is>
          <t>VARTA CR123</t>
        </is>
      </c>
      <c r="B1914" s="2" t="inlineStr">
        <is>
          <t>VARTA CR123 elem, lítium, CR123, 3V, 1 db/csomag</t>
        </is>
      </c>
      <c r="C1914" s="1" t="n">
        <v>1690.0</v>
      </c>
      <c r="D1914" s="7" t="n">
        <f>HYPERLINK("https://www.somogyi.hu/product/varta-cr123-elem-litium-cr123-3v-1-db-csomag-varta-cr123-16410","https://www.somogyi.hu/product/varta-cr123-elem-litium-cr123-3v-1-db-csomag-varta-cr123-16410")</f>
        <v>0.0</v>
      </c>
      <c r="E1914" s="7" t="n">
        <f>HYPERLINK("https://www.somogyi.hu/data/img/product_main_images/small/16410.jpg","https://www.somogyi.hu/data/img/product_main_images/small/16410.jpg")</f>
        <v>0.0</v>
      </c>
      <c r="F1914" s="2" t="inlineStr">
        <is>
          <t>4008496537280</t>
        </is>
      </c>
      <c r="G1914" s="4" t="inlineStr">
        <is>
          <t>A VARTA CR123 Lítium elem számos termék tápellátását biztosíthatja, amely CR 123 típusú elemmel üzemeltethető. 
Az elem teljesítménye 3 V. Mérete: (CR123).
A bliszter 1 db elemet tartalmaz.</t>
        </is>
      </c>
    </row>
    <row r="1915">
      <c r="A1915" s="3" t="inlineStr">
        <is>
          <t>Maxell 6LR61</t>
        </is>
      </c>
      <c r="B1915" s="2" t="inlineStr">
        <is>
          <t>Maxell 6LR61 9V elem, alkáli, 1 db/csomag</t>
        </is>
      </c>
      <c r="C1915" s="1" t="n">
        <v>889.0</v>
      </c>
      <c r="D1915" s="7" t="n">
        <f>HYPERLINK("https://www.somogyi.hu/product/maxell-6lr61-9v-elem-alkali-1-db-csomag-maxell-6lr61-16362","https://www.somogyi.hu/product/maxell-6lr61-9v-elem-alkali-1-db-csomag-maxell-6lr61-16362")</f>
        <v>0.0</v>
      </c>
      <c r="E1915" s="7" t="n">
        <f>HYPERLINK("https://www.somogyi.hu/data/img/product_main_images/small/16362.jpg","https://www.somogyi.hu/data/img/product_main_images/small/16362.jpg")</f>
        <v>0.0</v>
      </c>
      <c r="F1915" s="2" t="inlineStr">
        <is>
          <t>4902580150259</t>
        </is>
      </c>
      <c r="G1915" s="4" t="inlineStr">
        <is>
          <t>A MAXELL 6LR61 Alkáli elem számos termék tápellátását biztosíthatja, amely 6LR61 típusú elemmel funkcionál. Használja akár gyermekjátékok, elemlámpák üzemeltetéséhez. 
Az elem teljesítménye 9 V. Mérete: (6LR61). 
A bliszter 1 db elemet tartalmaz.</t>
        </is>
      </c>
    </row>
    <row r="1916">
      <c r="A1916" s="3" t="inlineStr">
        <is>
          <t>Maxell CR1616</t>
        </is>
      </c>
      <c r="B1916" s="2" t="inlineStr">
        <is>
          <t>Maxell CR1616 gombelem, lítium, 3V, 5 db/csomag</t>
        </is>
      </c>
      <c r="C1916" s="1" t="n">
        <v>559.0</v>
      </c>
      <c r="D1916" s="7" t="n">
        <f>HYPERLINK("https://www.somogyi.hu/product/maxell-cr1616-gombelem-litium-3v-5-db-csomag-maxell-cr1616-17898","https://www.somogyi.hu/product/maxell-cr1616-gombelem-litium-3v-5-db-csomag-maxell-cr1616-17898")</f>
        <v>0.0</v>
      </c>
      <c r="E1916" s="7" t="n">
        <f>HYPERLINK("https://www.somogyi.hu/data/img/product_main_images/small/17898.jpg","https://www.somogyi.hu/data/img/product_main_images/small/17898.jpg")</f>
        <v>0.0</v>
      </c>
      <c r="F1916" s="2" t="inlineStr">
        <is>
          <t>4902580776435</t>
        </is>
      </c>
      <c r="G1916" s="4" t="inlineStr">
        <is>
          <t xml:space="preserve"> • lítium 
 • gombelem (CR1616) 
 • 3 V 
 • 5 db / bliszter 
 • Az ár 1 db elemre vonatkozik.</t>
        </is>
      </c>
    </row>
    <row r="1917">
      <c r="A1917" s="3" t="inlineStr">
        <is>
          <t>Maxell CR1620</t>
        </is>
      </c>
      <c r="B1917" s="2" t="inlineStr">
        <is>
          <t>Maxell CR1620 gombelem, lítium, 3V, 5 db/csomag</t>
        </is>
      </c>
      <c r="C1917" s="1" t="n">
        <v>699.0</v>
      </c>
      <c r="D1917" s="7" t="n">
        <f>HYPERLINK("https://www.somogyi.hu/product/maxell-cr1620-gombelem-litium-3v-5-db-csomag-maxell-cr1620-17899","https://www.somogyi.hu/product/maxell-cr1620-gombelem-litium-3v-5-db-csomag-maxell-cr1620-17899")</f>
        <v>0.0</v>
      </c>
      <c r="E1917" s="7" t="n">
        <f>HYPERLINK("https://www.somogyi.hu/data/img/product_main_images/small/17899.jpg","https://www.somogyi.hu/data/img/product_main_images/small/17899.jpg")</f>
        <v>0.0</v>
      </c>
      <c r="F1917" s="2" t="inlineStr">
        <is>
          <t>4902580776459</t>
        </is>
      </c>
      <c r="G1917" s="4" t="inlineStr">
        <is>
          <t xml:space="preserve"> • lítium 
 • gombelem (CR1620) 
 • 3 V 
 • 5 db / bliszter 
 • Az ár 1 db elemre vonatkozik.</t>
        </is>
      </c>
    </row>
    <row r="1918">
      <c r="A1918" s="3" t="inlineStr">
        <is>
          <t>VARTA V23GA LR23</t>
        </is>
      </c>
      <c r="B1918" s="2" t="inlineStr">
        <is>
          <t>VARTA V23GA LR23 elem, alkáli, LR23, 12V, 1 db/csomag</t>
        </is>
      </c>
      <c r="C1918" s="1" t="n">
        <v>569.0</v>
      </c>
      <c r="D1918" s="7" t="n">
        <f>HYPERLINK("https://www.somogyi.hu/product/varta-v23ga-lr23-elem-alkali-lr23-12v-1-db-csomag-varta-v23ga-lr23-16409","https://www.somogyi.hu/product/varta-v23ga-lr23-elem-alkali-lr23-12v-1-db-csomag-varta-v23ga-lr23-16409")</f>
        <v>0.0</v>
      </c>
      <c r="E1918" s="7" t="n">
        <f>HYPERLINK("https://www.somogyi.hu/data/img/product_main_images/small/16409.jpg","https://www.somogyi.hu/data/img/product_main_images/small/16409.jpg")</f>
        <v>0.0</v>
      </c>
      <c r="F1918" s="2" t="inlineStr">
        <is>
          <t>4008496261628</t>
        </is>
      </c>
      <c r="G1918" s="4" t="inlineStr">
        <is>
          <t>A VARTA V23GA LR23 Alkáli elem számos termék tápellátását biztosíthatja, amely LR 23 típusú elemmel üzemeltethető.
Az elem teljesítménye 12 V. Mérete: (LR23).
A bliszter 1 db elemet tartalmaz.</t>
        </is>
      </c>
    </row>
    <row r="1919">
      <c r="A1919" s="3" t="inlineStr">
        <is>
          <t>VARTA CR2450</t>
        </is>
      </c>
      <c r="B1919" s="2" t="inlineStr">
        <is>
          <t>VARTA CR2450 gombelem, lítium, CR2450, 3V, 1 db/csomag</t>
        </is>
      </c>
      <c r="C1919" s="1" t="n">
        <v>1350.0</v>
      </c>
      <c r="D1919" s="7" t="n">
        <f>HYPERLINK("https://www.somogyi.hu/product/varta-cr2450-gombelem-litium-cr2450-3v-1-db-csomag-varta-cr2450-16407","https://www.somogyi.hu/product/varta-cr2450-gombelem-litium-cr2450-3v-1-db-csomag-varta-cr2450-16407")</f>
        <v>0.0</v>
      </c>
      <c r="E1919" s="7" t="n">
        <f>HYPERLINK("https://www.somogyi.hu/data/img/product_main_images/small/16407.jpg","https://www.somogyi.hu/data/img/product_main_images/small/16407.jpg")</f>
        <v>0.0</v>
      </c>
      <c r="F1919" s="2" t="inlineStr">
        <is>
          <t>4008496270972</t>
        </is>
      </c>
      <c r="G1919" s="4" t="inlineStr">
        <is>
          <t>A VARTA CR2450 Lítium gombelem számos termék tápellátását biztosíthatja, amely CR2450 típusú gomb elemmel üzemeltethető. 
Az elem teljesítménye 3 V. Mérete: gombelem (CR2450).
A bliszter 1 db elemet tartalmaz.</t>
        </is>
      </c>
    </row>
    <row r="1920">
      <c r="A1920" s="3" t="inlineStr">
        <is>
          <t>Maxell LR03</t>
        </is>
      </c>
      <c r="B1920" s="2" t="inlineStr">
        <is>
          <t>Maxell LR03 AAA elem, alkáli, mini ceruza, 1,5V, 4 db/csomag</t>
        </is>
      </c>
      <c r="C1920" s="1" t="n">
        <v>729.0</v>
      </c>
      <c r="D1920" s="7" t="n">
        <f>HYPERLINK("https://www.somogyi.hu/product/maxell-lr03-aaa-elem-alkali-mini-ceruza-1-5v-4-db-csomag-maxell-lr03-16361","https://www.somogyi.hu/product/maxell-lr03-aaa-elem-alkali-mini-ceruza-1-5v-4-db-csomag-maxell-lr03-16361")</f>
        <v>0.0</v>
      </c>
      <c r="E1920" s="7" t="n">
        <f>HYPERLINK("https://www.somogyi.hu/data/img/product_main_images/small/16361.jpg","https://www.somogyi.hu/data/img/product_main_images/small/16361.jpg")</f>
        <v>0.0</v>
      </c>
      <c r="F1920" s="2" t="inlineStr">
        <is>
          <t>4902580164010</t>
        </is>
      </c>
      <c r="G1920" s="4" t="inlineStr">
        <is>
          <t>A MAXELL LR03 Alkáli elem számos termék tápellátását biztosíthatja, amely mini ceruza (AAA) típusú elemmel funkcionál. Használja akár gyermekjátékok, fényfüzérek, csengők, elemlámpák üzemeltetéséhez. 
Az elem teljesítménye 1,5 V. Mérete: mini ceruza (AAA). 
A bliszter 4 db elemet tartalmaz.</t>
        </is>
      </c>
    </row>
    <row r="1921">
      <c r="A1921" s="3" t="inlineStr">
        <is>
          <t>Maxell LR6 4+2</t>
        </is>
      </c>
      <c r="B1921" s="2" t="inlineStr">
        <is>
          <t>Maxell LR6 4+2 AA elem, alkáli, ceruza, 1,5V, 6 db/csomag</t>
        </is>
      </c>
      <c r="C1921" s="1" t="n">
        <v>1090.0</v>
      </c>
      <c r="D1921" s="7" t="n">
        <f>HYPERLINK("https://www.somogyi.hu/product/maxell-lr6-4-2-aa-elem-alkali-ceruza-1-5v-6-db-csomag-maxell-lr6-4-2-16360","https://www.somogyi.hu/product/maxell-lr6-4-2-aa-elem-alkali-ceruza-1-5v-6-db-csomag-maxell-lr6-4-2-16360")</f>
        <v>0.0</v>
      </c>
      <c r="E1921" s="7" t="n">
        <f>HYPERLINK("https://www.somogyi.hu/data/img/product_main_images/small/16360.jpg","https://www.somogyi.hu/data/img/product_main_images/small/16360.jpg")</f>
        <v>0.0</v>
      </c>
      <c r="F1921" s="2" t="inlineStr">
        <is>
          <t>4902580163846</t>
        </is>
      </c>
      <c r="G1921" s="4" t="inlineStr">
        <is>
          <t>A MAXELL LR6 4+2 Alkáli elem számos termék tápellátását biztosíthatja, amely ceruza (AA) típusú elemmel funkcionál. Használja akár gyermekjátékok, fényfüzérek, csengők, elemlámpák üzemeltetéséhez. 
Az elem teljesítménye 1,5 V. Mérete: ceruza (AA). 
A bliszter 6 db elemet tartalmaz.</t>
        </is>
      </c>
    </row>
    <row r="1922">
      <c r="A1922" s="3" t="inlineStr">
        <is>
          <t>Maxell LR6</t>
        </is>
      </c>
      <c r="B1922" s="2" t="inlineStr">
        <is>
          <t>Maxell LR6 AA elem, alkáli, ceruza, 1,5V, 4 db/csomag</t>
        </is>
      </c>
      <c r="C1922" s="1" t="n">
        <v>729.0</v>
      </c>
      <c r="D1922" s="7" t="n">
        <f>HYPERLINK("https://www.somogyi.hu/product/maxell-lr6-aa-elem-alkali-ceruza-1-5v-4-db-csomag-maxell-lr6-16359","https://www.somogyi.hu/product/maxell-lr6-aa-elem-alkali-ceruza-1-5v-4-db-csomag-maxell-lr6-16359")</f>
        <v>0.0</v>
      </c>
      <c r="E1922" s="7" t="n">
        <f>HYPERLINK("https://www.somogyi.hu/data/img/product_main_images/small/16359.jpg","https://www.somogyi.hu/data/img/product_main_images/small/16359.jpg")</f>
        <v>0.0</v>
      </c>
      <c r="F1922" s="2" t="inlineStr">
        <is>
          <t>4902580163761</t>
        </is>
      </c>
      <c r="G1922" s="4" t="inlineStr">
        <is>
          <t>A MAXELL LR6 Alkáli elem számos termék tápellátását biztosíthatja, amely ceruza (AA) típusú elemmel funkcionál. Használja akár gyermekjátékok, fényfüzérek, csengők, elemlámpák üzemeltetéséhez. 
Az elem teljesítménye 1,5 V. Mérete: ceruza (AA). 
A bliszter 4 db elemet tartalmaz.</t>
        </is>
      </c>
    </row>
    <row r="1923">
      <c r="A1923" s="3" t="inlineStr">
        <is>
          <t>Maxell LR41</t>
        </is>
      </c>
      <c r="B1923" s="2" t="inlineStr">
        <is>
          <t>Maxell LR41 gombelem, alkáli, LR41, 1,5V, 10 db/csomag</t>
        </is>
      </c>
      <c r="C1923" s="1" t="n">
        <v>169.0</v>
      </c>
      <c r="D1923" s="7" t="n">
        <f>HYPERLINK("https://www.somogyi.hu/product/maxell-lr41-gombelem-alkali-lr41-1-5v-10-db-csomag-maxell-lr41-16594","https://www.somogyi.hu/product/maxell-lr41-gombelem-alkali-lr41-1-5v-10-db-csomag-maxell-lr41-16594")</f>
        <v>0.0</v>
      </c>
      <c r="E1923" s="7" t="n">
        <f>HYPERLINK("https://www.somogyi.hu/data/img/product_main_images/small/16594.jpg","https://www.somogyi.hu/data/img/product_main_images/small/16594.jpg")</f>
        <v>0.0</v>
      </c>
      <c r="F1923" s="2" t="inlineStr">
        <is>
          <t>4902580132682</t>
        </is>
      </c>
      <c r="G1923" s="4" t="inlineStr">
        <is>
          <t>A MAXELL LR41 Alkáli gombelem számos termék tápellátását biztosíthatja, amely LR 41 típusú gomb elemmel üzemeltethető. 
Az elem teljesítménye 1,5 V. Mérete: gombelem (LR41).
A bliszter 10 db elemet tartalmaz.</t>
        </is>
      </c>
    </row>
    <row r="1924">
      <c r="A1924" s="3" t="inlineStr">
        <is>
          <t>VARTA CR1220</t>
        </is>
      </c>
      <c r="B1924" s="2" t="inlineStr">
        <is>
          <t>VARTA CR1220 gombelem, lítium, CR1220, 3V, 1 db/csomag</t>
        </is>
      </c>
      <c r="C1924" s="1" t="n">
        <v>689.0</v>
      </c>
      <c r="D1924" s="7" t="n">
        <f>HYPERLINK("https://www.somogyi.hu/product/varta-cr1220-gombelem-litium-cr1220-3v-1-db-csomag-varta-cr1220-16403","https://www.somogyi.hu/product/varta-cr1220-gombelem-litium-cr1220-3v-1-db-csomag-varta-cr1220-16403")</f>
        <v>0.0</v>
      </c>
      <c r="E1924" s="7" t="n">
        <f>HYPERLINK("https://www.somogyi.hu/data/img/product_main_images/small/16403.jpg","https://www.somogyi.hu/data/img/product_main_images/small/16403.jpg")</f>
        <v>0.0</v>
      </c>
      <c r="F1924" s="2" t="inlineStr">
        <is>
          <t>4008496276899</t>
        </is>
      </c>
      <c r="G1924" s="4" t="inlineStr">
        <is>
          <t>A VARTA CR1220 Lítium gombelem számos termék tápellátását biztosíthatja, amely CR1220 típusú gomb elemmel üzemeltethető. 
Az elem teljesítménye 3 V. Mérete: gombelem (CR1220).
A bliszter 1 db elemet tartalmaz.</t>
        </is>
      </c>
    </row>
    <row r="1925">
      <c r="A1925" s="6" t="inlineStr">
        <is>
          <t xml:space="preserve">   Lakáskiegészítő / Csobogó</t>
        </is>
      </c>
      <c r="B1925" s="6" t="inlineStr">
        <is>
          <t/>
        </is>
      </c>
      <c r="C1925" s="6" t="inlineStr">
        <is>
          <t/>
        </is>
      </c>
      <c r="D1925" s="6" t="inlineStr">
        <is>
          <t/>
        </is>
      </c>
      <c r="E1925" s="6" t="inlineStr">
        <is>
          <t/>
        </is>
      </c>
      <c r="F1925" s="6" t="inlineStr">
        <is>
          <t/>
        </is>
      </c>
      <c r="G1925" s="6" t="inlineStr">
        <is>
          <t/>
        </is>
      </c>
    </row>
    <row r="1926">
      <c r="A1926" s="3" t="inlineStr">
        <is>
          <t>WF 04</t>
        </is>
      </c>
      <c r="B1926" s="2" t="inlineStr">
        <is>
          <t>Home WF 04 csobogó, polyresin, beltéri, LED</t>
        </is>
      </c>
      <c r="C1926" s="1" t="n">
        <v>10990.0</v>
      </c>
      <c r="D1926" s="7" t="n">
        <f>HYPERLINK("https://www.somogyi.hu/product/home-wf-04-csobogo-polyresin-belteri-led-wf-04-17265","https://www.somogyi.hu/product/home-wf-04-csobogo-polyresin-belteri-led-wf-04-17265")</f>
        <v>0.0</v>
      </c>
      <c r="E1926" s="7" t="n">
        <f>HYPERLINK("https://www.somogyi.hu/data/img/product_main_images/small/17265.jpg","https://www.somogyi.hu/data/img/product_main_images/small/17265.jpg")</f>
        <v>0.0</v>
      </c>
      <c r="F1926" s="2" t="inlineStr">
        <is>
          <t>5999084952877</t>
        </is>
      </c>
      <c r="G1926" s="4" t="inlineStr">
        <is>
          <t>A csobogó polyresin alapanyagú, kőhatású beltéri kivitelű, a melegfehér LED fényével tökéletes hangulatú dekorációjává válhat a nappalijának, télikertjének.
Tápellátásként a hálózati adapter tartozékul szolgál. Mérete: 17 x 26 x 17 cm
Természetes hatású, így növényekkel, kövekkel kombinálva kellemes látványt biztosít az otthonában.</t>
        </is>
      </c>
    </row>
    <row r="1927">
      <c r="A1927" s="6" t="inlineStr">
        <is>
          <t xml:space="preserve">   Lakáskiegészítő / Ülő, álló munkahely</t>
        </is>
      </c>
      <c r="B1927" s="6" t="inlineStr">
        <is>
          <t/>
        </is>
      </c>
      <c r="C1927" s="6" t="inlineStr">
        <is>
          <t/>
        </is>
      </c>
      <c r="D1927" s="6" t="inlineStr">
        <is>
          <t/>
        </is>
      </c>
      <c r="E1927" s="6" t="inlineStr">
        <is>
          <t/>
        </is>
      </c>
      <c r="F1927" s="6" t="inlineStr">
        <is>
          <t/>
        </is>
      </c>
      <c r="G1927" s="6" t="inlineStr">
        <is>
          <t/>
        </is>
      </c>
    </row>
    <row r="1928">
      <c r="A1928" s="3" t="inlineStr">
        <is>
          <t>SST 01</t>
        </is>
      </c>
      <c r="B1928" s="2" t="inlineStr">
        <is>
          <t>Home SST 01 ülő-álló asztali munkahely, minőségi MDF alapanyag, nagy szilárdságú acélváz, 5 magasságbeállítás, benyomható fogantyú, 67x47cm</t>
        </is>
      </c>
      <c r="C1928" s="1" t="n">
        <v>18290.0</v>
      </c>
      <c r="D1928" s="7" t="n">
        <f>HYPERLINK("https://www.somogyi.hu/product/home-sst-01-ulo-allo-asztali-munkahely-minosegi-mdf-alapanyag-nagy-szilardsagu-acelvaz-5-magassagbeallitas-benyomhato-fogantyu-67x47cm-sst-01-17321","https://www.somogyi.hu/product/home-sst-01-ulo-allo-asztali-munkahely-minosegi-mdf-alapanyag-nagy-szilardsagu-acelvaz-5-magassagbeallitas-benyomhato-fogantyu-67x47cm-sst-01-17321")</f>
        <v>0.0</v>
      </c>
      <c r="E1928" s="7" t="n">
        <f>HYPERLINK("https://www.somogyi.hu/data/img/product_main_images/small/17321.jpg","https://www.somogyi.hu/data/img/product_main_images/small/17321.jpg")</f>
        <v>0.0</v>
      </c>
      <c r="F1928" s="2" t="inlineStr">
        <is>
          <t>5999084953430</t>
        </is>
      </c>
      <c r="G1928" s="4" t="inlineStr">
        <is>
          <t>Az SST 01 Ülő- álló asztali munkahely használata lehetővé teszi a kényelmes munkavégzést, mellyel elérhetőbb a helyes testtartás ülő- de akár álló pozícióban is. 
A monitor mindig szemmagasságban helyezhető el, ezzel csökkentve a nyaki és háti fájdalmakat. 
Környezetbarát MDF alapanyagból készült, így nagy ütésállósággal rendelkezik. 
Nagy szilárdságú acélvázzal és ultra vékony profillal készült. 
A benyomható fogantyúval könnyedén, egy pillanat alatt állíthatja be a magasságot 45- 405 mm-ig 5 pozícióban. 
Az EVA habszivacsok megvédik az asztalt a karcolásoktól és a kopástól.
Teremtsen komfortosabb környezetet a hosszú távú számítógép előtti munkához!</t>
        </is>
      </c>
    </row>
    <row r="1929">
      <c r="A1929" s="6" t="inlineStr">
        <is>
          <t xml:space="preserve">   Lakáskiegészítő / TV Box</t>
        </is>
      </c>
      <c r="B1929" s="6" t="inlineStr">
        <is>
          <t/>
        </is>
      </c>
      <c r="C1929" s="6" t="inlineStr">
        <is>
          <t/>
        </is>
      </c>
      <c r="D1929" s="6" t="inlineStr">
        <is>
          <t/>
        </is>
      </c>
      <c r="E1929" s="6" t="inlineStr">
        <is>
          <t/>
        </is>
      </c>
      <c r="F1929" s="6" t="inlineStr">
        <is>
          <t/>
        </is>
      </c>
      <c r="G1929" s="6" t="inlineStr">
        <is>
          <t/>
        </is>
      </c>
    </row>
    <row r="1930">
      <c r="A1930" s="3" t="inlineStr">
        <is>
          <t>TV SMART BOX</t>
        </is>
      </c>
      <c r="B1930" s="2" t="inlineStr">
        <is>
          <t>Home TV SMART BOX Android TV, TV-okosító, multimédia-lejátszó, számítógép, egér és billentyűzet csatlakozás, 4/64GB memória, 4x2GHz processzor, 4K</t>
        </is>
      </c>
      <c r="C1930" s="1" t="n">
        <v>26190.0</v>
      </c>
      <c r="D1930" s="7" t="n">
        <f>HYPERLINK("https://www.somogyi.hu/product/home-tv-smart-box-android-tv-tv-okosito-multimedia-lejatszo-szamitogep-eger-es-billentyuzet-csatlakozas-4-64gb-memoria-4x2ghz-processzor-4k-tv-smart-box-17751","https://www.somogyi.hu/product/home-tv-smart-box-android-tv-tv-okosito-multimedia-lejatszo-szamitogep-eger-es-billentyuzet-csatlakozas-4-64gb-memoria-4x2ghz-processzor-4k-tv-smart-box-17751")</f>
        <v>0.0</v>
      </c>
      <c r="E1930" s="7" t="n">
        <f>HYPERLINK("https://www.somogyi.hu/data/img/product_main_images/small/17751.jpg","https://www.somogyi.hu/data/img/product_main_images/small/17751.jpg")</f>
        <v>0.0</v>
      </c>
      <c r="F1930" s="2" t="inlineStr">
        <is>
          <t>5999084957735</t>
        </is>
      </c>
      <c r="G1930" s="4" t="inlineStr">
        <is>
          <t>Szeretne modernizálni otthonában, és minden lehetőséget kihasználni, amit a digitális világ kínál? A Home TV SMART BOX az Ön tökéletes társa lesz ebben, hiszen egy sokoldalú eszköz, amely TV-okosítóként, multimédia-lejátszóként is funkcionál.
Amennyiben már rendelkezik okostévével, a Home TV SMART BOX sokkal többre képes tenni azt. Akár egy általános számítógépet helyettesíthet vele, legyen szó munkáról, szórakozásról vagy játékról. Egyszerűen csatlakoztathat hozzá egeret és billentyűzetet, így még kényelmesebbé válik a használata. Régi televízióját vagy monitorát újra életre keltheti vele, új funkciókkal bővítve. A Home TV SMART BOX segítségével kedvenc fotóit, videóit vagy zenéit könnyedén megoszthatja tévéjén, internetcsatlakozáson keresztül, vezetékkel vagy WiFi-n keresztül. Az alkalmazásokat pedig a Google Play áruházból vagy alternatív forrásokból töltheti le.
4K UHD videók lejátszása sem jelent gondot a gyors és stabil működésű készüléknek, köszönhetően a High-Speed 4x2GHz processzornak és a 4/64GB nagy memóriának. YouTube kompatibilis, így garantáltan nem marad le semmiről. A személyre szabható RGB LED fényjáték pedig extra hangulatot visz otthonába. A csomag tartalmazza a távirányítót, hálózati adaptert és HDMI kábelt is. A távirányító tápellátását 2 x 1,5 V (AAA) elem biztosítja, amelyek nem tartoznak a csomaghoz. A készülék méretei (105 x 105 x 23 mm) és súlya (140 g) tökéletesen illeszkednek bármilyen otthoni környezetbe.
Válassza a Home TV SMART BOX-ot, és élvezze a modern otthoni szórakozás minden előnyét. Rendelje meg most, és fedezze fel, mennyire könnyű a digitális élmények világába lépni!</t>
        </is>
      </c>
    </row>
    <row r="1931">
      <c r="A1931" s="6" t="inlineStr">
        <is>
          <t xml:space="preserve">   Lakáskiegészítő / CHAMELEON okosotthon</t>
        </is>
      </c>
      <c r="B1931" s="6" t="inlineStr">
        <is>
          <t/>
        </is>
      </c>
      <c r="C1931" s="6" t="inlineStr">
        <is>
          <t/>
        </is>
      </c>
      <c r="D1931" s="6" t="inlineStr">
        <is>
          <t/>
        </is>
      </c>
      <c r="E1931" s="6" t="inlineStr">
        <is>
          <t/>
        </is>
      </c>
      <c r="F1931" s="6" t="inlineStr">
        <is>
          <t/>
        </is>
      </c>
      <c r="G1931" s="6" t="inlineStr">
        <is>
          <t/>
        </is>
      </c>
    </row>
    <row r="1932">
      <c r="A1932" s="3" t="inlineStr">
        <is>
          <t>CH-WZB-SW2-100</t>
        </is>
      </c>
      <c r="B1932" s="2" t="inlineStr">
        <is>
          <t>Chameleon CH-WZB-SW2-100 kapcsoló fali modul, vezeték nélküli, 2 fázisú, max. 10 A / áramkör, ZigBee 3.0, 18 x 47 x 52 mm</t>
        </is>
      </c>
      <c r="C1932" s="1" t="n">
        <v>12590.0</v>
      </c>
      <c r="D1932" s="7" t="n">
        <f>HYPERLINK("https://www.somogyi.hu/product/chameleon-ch-wzb-sw2-100-kapcsolo-fali-modul-vezetek-nelkuli-2-fazisu-max-10-a-aramkor-zigbee-3-0-18-x-47-x-52-mm-ch-wzb-sw2-100-18087","https://www.somogyi.hu/product/chameleon-ch-wzb-sw2-100-kapcsolo-fali-modul-vezetek-nelkuli-2-fazisu-max-10-a-aramkor-zigbee-3-0-18-x-47-x-52-mm-ch-wzb-sw2-100-18087")</f>
        <v>0.0</v>
      </c>
      <c r="E1932" s="7" t="n">
        <f>HYPERLINK("https://www.somogyi.hu/data/img/product_main_images/small/18087.jpg","https://www.somogyi.hu/data/img/product_main_images/small/18087.jpg")</f>
        <v>0.0</v>
      </c>
      <c r="F1932" s="2" t="inlineStr">
        <is>
          <t>5999572900335</t>
        </is>
      </c>
      <c r="G1932" s="4" t="inlineStr">
        <is>
          <t>Ismerje meg a Chameleon CH-WZB-SW2-100 vezeték nélküli kapcsoló fali modult, egy kiváló eszközt otthoni villamos rendszerének modernizálására. Ez a 2 fázisú kapcsoló modul könnyen elrejthető a fali szerelvények mögött, így diszkréten integrálódik otthonába.
A Chameleon okosotthon rendszer az eszközökbe beágyazott elektronika és érzékelők segítségével kommunikál, így az applikáció interneten keresztül való használatával bárhonnan irányíthatóvá válnak a központi rendszerbe integrált eszközei.
A CH-WZB-SW2-100 segítségével különböző 230 V-os kapcsolókörök vezérelhetőek, lehetővé téve ezzel az otthoni világítás és egyéb elektromos eszközök intelligens szabályozását. A ZigBee 3.0 technológia biztosítja a megbízható és gyors működést.
A Chameleon okosotthon monitorozza a házban lévő eszközök működését, állapotát, és a környezetben bekövetkezett változásokat. A rendszer lehetőséget ad Önnek arra, hogy igényeire szabva változtathassa környezetét.
A modul maximális terhelése 10 A áramkörönként, ami tökéletesen megfelel a modern háztartások igényeinek. Méretei (18 x 47 x 52 mm) révén kis helyet foglal, így ideális választás minden otthon számára.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CH-WZB-SW2-100 vezeték nélküli kapcsoló fali modulját, és élvezze otthona kezelésének kényelmét!</t>
        </is>
      </c>
    </row>
    <row r="1933">
      <c r="A1933" s="3" t="inlineStr">
        <is>
          <t>CH-WZB-MWS-110</t>
        </is>
      </c>
      <c r="B1933" s="2" t="inlineStr">
        <is>
          <t>Chameleon Flow Vez. nélküli sorolható fali kapcsoló, szürke, 1-körös</t>
        </is>
      </c>
      <c r="C1933" s="1" t="n">
        <v>15890.0</v>
      </c>
      <c r="D1933" s="7" t="n">
        <f>HYPERLINK("https://www.somogyi.hu/product/chameleon-flow-vez-nelkuli-sorolhato-fali-kapcsolo-szurke-1-koros-ch-wzb-mws-110-18420","https://www.somogyi.hu/product/chameleon-flow-vez-nelkuli-sorolhato-fali-kapcsolo-szurke-1-koros-ch-wzb-mws-110-18420")</f>
        <v>0.0</v>
      </c>
      <c r="E1933" s="7" t="n">
        <f>HYPERLINK("https://www.somogyi.hu/data/img/product_main_images/small/18420.jpg","https://www.somogyi.hu/data/img/product_main_images/small/18420.jpg")</f>
        <v>0.0</v>
      </c>
      <c r="F1933" s="2" t="inlineStr">
        <is>
          <t>5999572900540</t>
        </is>
      </c>
      <c r="G1933" s="4" t="inlineStr">
        <is>
          <t xml:space="preserve"> • felhasználási feltétel: A készülék működéséhez központi egység szükséges ! (opció: Chameleon CH-WMP-COR-100) 
 • tápellátás: 100-240V~ 
 • kiemelt jellemzők: egykörös,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161 g 
 • egyéb: támogatott rendszerek: Android/iOS</t>
        </is>
      </c>
    </row>
    <row r="1934">
      <c r="A1934" s="3" t="inlineStr">
        <is>
          <t>CH-WZB-MWS-200</t>
        </is>
      </c>
      <c r="B1934" s="2" t="inlineStr">
        <is>
          <t>Chameleon Flow Vez. nélküli sorolható fali kapcsoló, fehér, 2-körös</t>
        </is>
      </c>
      <c r="C1934" s="1" t="n">
        <v>17190.0</v>
      </c>
      <c r="D1934" s="7" t="n">
        <f>HYPERLINK("https://www.somogyi.hu/product/chameleon-flow-vez-nelkuli-sorolhato-fali-kapcsolo-feher-2-koros-ch-wzb-mws-200-18421","https://www.somogyi.hu/product/chameleon-flow-vez-nelkuli-sorolhato-fali-kapcsolo-feher-2-koros-ch-wzb-mws-200-18421")</f>
        <v>0.0</v>
      </c>
      <c r="E1934" s="7" t="n">
        <f>HYPERLINK("https://www.somogyi.hu/data/img/product_main_images/small/18421.jpg","https://www.somogyi.hu/data/img/product_main_images/small/18421.jpg")</f>
        <v>0.0</v>
      </c>
      <c r="F1934" s="2" t="inlineStr">
        <is>
          <t>5999572900526</t>
        </is>
      </c>
      <c r="G1934" s="4" t="inlineStr">
        <is>
          <t xml:space="preserve"> • felhasználási feltétel: A készülék működéséhez központi egység szükséges ! (opció: Chameleon CH-WMP-COR-100) 
 • tápellátás: 100-240V~ 
 • kiemelt jellemzők: kétkörös,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167 g 
 • egyéb: támogatott rendszerek: Android/iOS</t>
        </is>
      </c>
    </row>
    <row r="1935">
      <c r="A1935" s="3" t="inlineStr">
        <is>
          <t>CH-WZB-MWS-210</t>
        </is>
      </c>
      <c r="B1935" s="2" t="inlineStr">
        <is>
          <t>Chameleon Flow Vez. nélküli sorolható fali kapcsoló, szürke, 2-körös</t>
        </is>
      </c>
      <c r="C1935" s="1" t="n">
        <v>17190.0</v>
      </c>
      <c r="D1935" s="7" t="n">
        <f>HYPERLINK("https://www.somogyi.hu/product/chameleon-flow-vez-nelkuli-sorolhato-fali-kapcsolo-szurke-2-koros-ch-wzb-mws-210-18422","https://www.somogyi.hu/product/chameleon-flow-vez-nelkuli-sorolhato-fali-kapcsolo-szurke-2-koros-ch-wzb-mws-210-18422")</f>
        <v>0.0</v>
      </c>
      <c r="E1935" s="7" t="n">
        <f>HYPERLINK("https://www.somogyi.hu/data/img/product_main_images/small/18422.jpg","https://www.somogyi.hu/data/img/product_main_images/small/18422.jpg")</f>
        <v>0.0</v>
      </c>
      <c r="F1935" s="2" t="inlineStr">
        <is>
          <t>5999572900557</t>
        </is>
      </c>
      <c r="G1935" s="4" t="inlineStr">
        <is>
          <t xml:space="preserve"> • felhasználási feltétel: A készülék működéséhez központi egység szükséges ! (opció: Chameleon CH-WMP-COR-100) 
 • tápellátás: 100-240V~ 
 • kiemelt jellemzők: kétkörös,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167 g 
 • egyéb: támogatott rendszerek: Android/iOS</t>
        </is>
      </c>
    </row>
    <row r="1936">
      <c r="A1936" s="3" t="inlineStr">
        <is>
          <t>CH-WZB-MWS-100</t>
        </is>
      </c>
      <c r="B1936" s="2" t="inlineStr">
        <is>
          <t>Chameleon Flow Vez. nélküli sorolható fali kapcsoló, fehér, 1-körös</t>
        </is>
      </c>
      <c r="C1936" s="1" t="n">
        <v>15890.0</v>
      </c>
      <c r="D1936" s="7" t="n">
        <f>HYPERLINK("https://www.somogyi.hu/product/chameleon-flow-vez-nelkuli-sorolhato-fali-kapcsolo-feher-1-koros-ch-wzb-mws-100-18419","https://www.somogyi.hu/product/chameleon-flow-vez-nelkuli-sorolhato-fali-kapcsolo-feher-1-koros-ch-wzb-mws-100-18419")</f>
        <v>0.0</v>
      </c>
      <c r="E1936" s="7" t="n">
        <f>HYPERLINK("https://www.somogyi.hu/data/img/product_main_images/small/18419.jpg","https://www.somogyi.hu/data/img/product_main_images/small/18419.jpg")</f>
        <v>0.0</v>
      </c>
      <c r="F1936" s="2" t="inlineStr">
        <is>
          <t>5999572900519</t>
        </is>
      </c>
      <c r="G1936" s="4" t="inlineStr">
        <is>
          <t xml:space="preserve"> • felhasználási feltétel: A készülék működéséhez központi egység szükséges ! (opció: Chameleon CH-WMP-COR-100) 
 • tápellátás: 100-240V~ 
 • kiemelt jellemzők: egykörös,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161 g 
 • egyéb: támogatott rendszerek: Android/iOS</t>
        </is>
      </c>
    </row>
    <row r="1937">
      <c r="A1937" s="3" t="inlineStr">
        <is>
          <t>CH-WZB-FMS-410</t>
        </is>
      </c>
      <c r="B1937" s="2" t="inlineStr">
        <is>
          <t>Chameleon Flow sorolókeret sorolható kapcsolóhoz, 4 kimenet, szürke</t>
        </is>
      </c>
      <c r="C1937" s="1" t="n">
        <v>2290.0</v>
      </c>
      <c r="D1937" s="7" t="n">
        <f>HYPERLINK("https://www.somogyi.hu/product/chameleon-flow-sorolokeret-sorolhato-kapcsolohoz-4-kimenet-szurke-ch-wzb-fms-410-18434","https://www.somogyi.hu/product/chameleon-flow-sorolokeret-sorolhato-kapcsolohoz-4-kimenet-szurke-ch-wzb-fms-410-18434")</f>
        <v>0.0</v>
      </c>
      <c r="E1937" s="7" t="n">
        <f>HYPERLINK("https://www.somogyi.hu/data/img/product_main_images/small/18434.jpg","https://www.somogyi.hu/data/img/product_main_images/small/18434.jpg")</f>
        <v>0.0</v>
      </c>
      <c r="F1937" s="2" t="inlineStr">
        <is>
          <t>5999572900632</t>
        </is>
      </c>
      <c r="G1937" s="4" t="inlineStr">
        <is>
          <t xml:space="preserve"> • használhatóság: sorolókeret sorolható kapcsolóhoz, négy kimenettel 
 • anyag: műanyag 
 • szín: szürke 
 • méret: 296 x 86 x 8,4 mm</t>
        </is>
      </c>
    </row>
    <row r="1938">
      <c r="A1938" s="3" t="inlineStr">
        <is>
          <t>CH-WZB-MWS-300</t>
        </is>
      </c>
      <c r="B1938" s="2" t="inlineStr">
        <is>
          <t>Chameleon Flow Vez. nélküli sorolható fali kapcsoló, fehér, 3-körös</t>
        </is>
      </c>
      <c r="C1938" s="1" t="n">
        <v>17690.0</v>
      </c>
      <c r="D1938" s="7" t="n">
        <f>HYPERLINK("https://www.somogyi.hu/product/chameleon-flow-vez-nelkuli-sorolhato-fali-kapcsolo-feher-3-koros-ch-wzb-mws-300-18423","https://www.somogyi.hu/product/chameleon-flow-vez-nelkuli-sorolhato-fali-kapcsolo-feher-3-koros-ch-wzb-mws-300-18423")</f>
        <v>0.0</v>
      </c>
      <c r="E1938" s="7" t="n">
        <f>HYPERLINK("https://www.somogyi.hu/data/img/product_main_images/small/18423.jpg","https://www.somogyi.hu/data/img/product_main_images/small/18423.jpg")</f>
        <v>0.0</v>
      </c>
      <c r="F1938" s="2" t="inlineStr">
        <is>
          <t>5999572900533</t>
        </is>
      </c>
      <c r="G1938" s="4" t="inlineStr">
        <is>
          <t xml:space="preserve"> • felhasználási feltétel: A készülék működéséhez központi egység szükséges ! (opció: Chameleon CH-WMP-COR-100) 
 • tápellátás: 100-240V~ 
 • kiemelt jellemzők: háromkörös,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173 g 
 • egyéb: támogatott rendszerek: Android/iOS</t>
        </is>
      </c>
    </row>
    <row r="1939">
      <c r="A1939" s="3" t="inlineStr">
        <is>
          <t>CH-WZB-PMS-100</t>
        </is>
      </c>
      <c r="B1939" s="2" t="inlineStr">
        <is>
          <t>Chameleon CH-WZB-PMS-100 mozgásérzékelő, vezeték nélküli, 7 m hatótáv, 170° érzékelési szög, 1 x CR2450 gombelem, ZigBee 3.0, 73 x 59 x 58 mm</t>
        </is>
      </c>
      <c r="C1939" s="1" t="n">
        <v>11290.0</v>
      </c>
      <c r="D1939" s="7" t="n">
        <f>HYPERLINK("https://www.somogyi.hu/product/chameleon-ch-wzb-pms-100-mozgaserzekelo-vezetek-nelkuli-7-m-hatotav-170-erzekelesi-szog-1-x-cr2450-gombelem-zigbee-3-0-73-x-59-x-58-mm-ch-wzb-pms-100-18095","https://www.somogyi.hu/product/chameleon-ch-wzb-pms-100-mozgaserzekelo-vezetek-nelkuli-7-m-hatotav-170-erzekelesi-szog-1-x-cr2450-gombelem-zigbee-3-0-73-x-59-x-58-mm-ch-wzb-pms-100-18095")</f>
        <v>0.0</v>
      </c>
      <c r="E1939" s="7" t="n">
        <f>HYPERLINK("https://www.somogyi.hu/data/img/product_main_images/small/18095.jpg","https://www.somogyi.hu/data/img/product_main_images/small/18095.jpg")</f>
        <v>0.0</v>
      </c>
      <c r="F1939" s="2" t="inlineStr">
        <is>
          <t>5999572900397</t>
        </is>
      </c>
      <c r="G1939" s="4" t="inlineStr">
        <is>
          <t>Fedezze fel a Chameleon CH-WZB-PMS-100 vezeték nélküli mozgásérzékelőt, amely innovatív megoldásokat kínál otthonának. Ez a készülék könnyedén helyezhető el különböző felületeken, és hatékonyan érzékeli a mozgást akár 7 méteres távolságban és 170°-os szögben, így növeli otthona biztonságát és kényelmét.
A Chameleon okosotthon rendszer az eszközökbe beágyazott elektronika és érzékelők segítségével kommunikál, így az applikáció interneten keresztül való használatával bárhonnan irányíthatóvá válnak a központi rendszerbe integrált eszközei.
A CH-WZB-PMS-100 mozgásérzékelő a ZigBee 3.0 technológiát használja. Az 1 darab CR2450 gombelemmel működő készülék hosszú ideig biztosítja a zökkenőmentes működést. Mérete (73 x 59 x 58 mm) révén a mozgásérzékelő diszkréten illeszkedik otthoni környezetébe, így nem zavarja a lakás esztétikáját.
A Chameleon okosotthon monitorozza a házban lévő eszközök működését, állapotát, és a környezetben bekövetkezett változásokat. A rendszer lehetőséget ad Önnek arra, hogy igényeire szabva változtathassa környezetét.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CH-WZB-PMS-100 vezeték nélküli mozgásérzékelőjét, és élvezze otthona kezelésének kényelmét!</t>
        </is>
      </c>
    </row>
    <row r="1940">
      <c r="A1940" s="3" t="inlineStr">
        <is>
          <t>CH-WZB-FMS-400</t>
        </is>
      </c>
      <c r="B1940" s="2" t="inlineStr">
        <is>
          <t>Chameleon Flow sorolókeret sorolható kapcsolóhoz, 4 kimenet, fehér</t>
        </is>
      </c>
      <c r="C1940" s="1" t="n">
        <v>2290.0</v>
      </c>
      <c r="D1940" s="7" t="n">
        <f>HYPERLINK("https://www.somogyi.hu/product/chameleon-flow-sorolokeret-sorolhato-kapcsolohoz-4-kimenet-feher-ch-wzb-fms-400-18433","https://www.somogyi.hu/product/chameleon-flow-sorolokeret-sorolhato-kapcsolohoz-4-kimenet-feher-ch-wzb-fms-400-18433")</f>
        <v>0.0</v>
      </c>
      <c r="E1940" s="7" t="n">
        <f>HYPERLINK("https://www.somogyi.hu/data/img/product_main_images/small/18433.jpg","https://www.somogyi.hu/data/img/product_main_images/small/18433.jpg")</f>
        <v>0.0</v>
      </c>
      <c r="F1940" s="2" t="inlineStr">
        <is>
          <t>5999572900601</t>
        </is>
      </c>
      <c r="G1940" s="4" t="inlineStr">
        <is>
          <t xml:space="preserve"> • használhatóság: sorolókeret sorolható kapcsolóhoz, négy kimenettel 
 • anyag: műanyag 
 • szín: fehér 
 • méret: 296 x 86 x 8,4 mm</t>
        </is>
      </c>
    </row>
    <row r="1941">
      <c r="A1941" s="3" t="inlineStr">
        <is>
          <t>CH-WZB-MWS-310</t>
        </is>
      </c>
      <c r="B1941" s="2" t="inlineStr">
        <is>
          <t>Chameleon Flow Vez. nélküli sorolható fali kapcsoló, szürke, 3-körös</t>
        </is>
      </c>
      <c r="C1941" s="1" t="n">
        <v>17690.0</v>
      </c>
      <c r="D1941" s="7" t="n">
        <f>HYPERLINK("https://www.somogyi.hu/product/chameleon-flow-vez-nelkuli-sorolhato-fali-kapcsolo-szurke-3-koros-ch-wzb-mws-310-18424","https://www.somogyi.hu/product/chameleon-flow-vez-nelkuli-sorolhato-fali-kapcsolo-szurke-3-koros-ch-wzb-mws-310-18424")</f>
        <v>0.0</v>
      </c>
      <c r="E1941" s="7" t="n">
        <f>HYPERLINK("https://www.somogyi.hu/data/img/product_main_images/small/18424.jpg","https://www.somogyi.hu/data/img/product_main_images/small/18424.jpg")</f>
        <v>0.0</v>
      </c>
      <c r="F1941" s="2" t="inlineStr">
        <is>
          <t>5999572900564</t>
        </is>
      </c>
      <c r="G1941" s="4" t="inlineStr">
        <is>
          <t xml:space="preserve"> • felhasználási feltétel: A készülék működéséhez központi egység szükséges ! (opció: Chameleon CH-WMP-COR-100) 
 • tápellátás: 100-240V~ 
 • kiemelt jellemzők: háromkörös,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173 g 
 • egyéb: támogatott rendszerek: Android/iOS</t>
        </is>
      </c>
    </row>
    <row r="1942">
      <c r="A1942" s="3" t="inlineStr">
        <is>
          <t>CH-WZB-SSW-100</t>
        </is>
      </c>
      <c r="B1942" s="2" t="inlineStr">
        <is>
          <t>Chameleon, vezeték nélküli egykörös jelenetkapcsoló</t>
        </is>
      </c>
      <c r="C1942" s="1" t="n">
        <v>8290.0</v>
      </c>
      <c r="D1942" s="7" t="n">
        <f>HYPERLINK("https://www.somogyi.hu/product/chameleon-vezetek-nelkuli-egykoros-jelenetkapcsolo-ch-wzb-ssw-100-18425","https://www.somogyi.hu/product/chameleon-vezetek-nelkuli-egykoros-jelenetkapcsolo-ch-wzb-ssw-100-18425")</f>
        <v>0.0</v>
      </c>
      <c r="E1942" s="7" t="n">
        <f>HYPERLINK("https://www.somogyi.hu/data/img/product_main_images/small/18425.jpg","https://www.somogyi.hu/data/img/product_main_images/small/18425.jpg")</f>
        <v>0.0</v>
      </c>
      <c r="F1942" s="2" t="inlineStr">
        <is>
          <t>5999572900229</t>
        </is>
      </c>
      <c r="G1942" s="4" t="inlineStr">
        <is>
          <t xml:space="preserve"> • Áramforrás: CR2032 elem 
 • Protokoll: ZigBee 3.0 
 • Működési frekvencia: 2,4 GHz 
 • Működési Hőmérséklet: -10℃~45℃ 
 • IP Védettség: IP20 
 • Támogatott Rendszerek: Android/iOS</t>
        </is>
      </c>
    </row>
    <row r="1943">
      <c r="A1943" s="3" t="inlineStr">
        <is>
          <t>CH-WZB-RTH-100</t>
        </is>
      </c>
      <c r="B1943" s="2" t="inlineStr">
        <is>
          <t>Chameleon CH-WZB-RTH-100 radiátorszelep vezérlő, vezeték nélküli, LED érintőképernyő, RA, RAV, Comap, RAVL, T + A Herz, ZigBee 3.0, 128 x 86 x 86 mm</t>
        </is>
      </c>
      <c r="C1943" s="1" t="n">
        <v>29890.0</v>
      </c>
      <c r="D1943" s="7" t="n">
        <f>HYPERLINK("https://www.somogyi.hu/product/chameleon-ch-wzb-rth-100-radiatorszelep-vezerlo-vezetek-nelkuli-led-erintokepernyo-ra-rav-comap-ravl-t-a-herz-zigbee-3-0-128-x-86-x-86-mm-ch-wzb-rth-100-18099","https://www.somogyi.hu/product/chameleon-ch-wzb-rth-100-radiatorszelep-vezerlo-vezetek-nelkuli-led-erintokepernyo-ra-rav-comap-ravl-t-a-herz-zigbee-3-0-128-x-86-x-86-mm-ch-wzb-rth-100-18099")</f>
        <v>0.0</v>
      </c>
      <c r="E1943" s="7" t="n">
        <f>HYPERLINK("https://www.somogyi.hu/data/img/product_main_images/small/18099.jpg","https://www.somogyi.hu/data/img/product_main_images/small/18099.jpg")</f>
        <v>0.0</v>
      </c>
      <c r="F1943" s="2" t="inlineStr">
        <is>
          <t>5999572900281</t>
        </is>
      </c>
      <c r="G1943" s="4" t="inlineStr">
        <is>
          <t>Ismerje meg a Chameleon CH-WZB-RTH-100 vezeték nélküli radiátorszelep vezérlőt, amely új dimenziókat nyit a lakás hőmérséklet-szabályozásában. Ez a készülék kompatibilis a legtöbb radiátorral, így széles körben alkalmazható a modern otthonokban.
A Chameleon okosotthon rendszer az eszközökbe beágyazott elektronika és érzékelők segítségével kommunikál, így az applikáció interneten keresztül való használatával bárhonnan irányíthatóvá válnak a központi rendszerbe integrált eszközei.
A CH-WZB-RTH-100 lehetővé teszi a távoli hőmérsékletmonitorozást és -szabályozást az adott szobában, így hatékonyan optimalizálhatja a lakás hőkomfortját. Az elemes kialakítás miatt a radiátorszelep vezérlő nem igényel hálózati áramforrást, ami még rugalmasabb telepítést tesz lehetővé.
A Chameleon okosotthon monitorozza a házban lévő eszközök működését, állapotát, és a környezetben bekövetkezett változásokat. A rendszer lehetőséget ad Önnek arra, hogy igényeire szabva változtathassa környezetét.
A készülék ZigBee 3.0 technológiát használ, és biztosítja a stabil és megbízható vezeték nélküli kapcsolatot. Az intuitív LED érintőképernyő még könnyebbé teszi a kezelést. Mérete (128 x 86 x 86 mm) révén a radiátorszelep vezérlő diszkréten illeszkedik otthoni környezetébe. Kompatibilis RA, RAV, Comap, RAVL, T + A Herz radiátor szelepekkel.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CH-WZB-RTH-100 vezeték nélküli radiátorszelep vezérlőt, és élvezze otthona kezelésének kényelmét!</t>
        </is>
      </c>
    </row>
    <row r="1944">
      <c r="A1944" s="3" t="inlineStr">
        <is>
          <t>KU001260</t>
        </is>
      </c>
      <c r="B1944" s="2" t="inlineStr">
        <is>
          <t>Chameleon Sensibo Sky 2.0 klímavezérlő modul</t>
        </is>
      </c>
      <c r="C1944" s="1" t="n">
        <v>60990.0</v>
      </c>
      <c r="D1944" s="7" t="n">
        <f>HYPERLINK("https://www.somogyi.hu/product/chameleon-sensibo-sky-2-0-klimavezerlo-modul-ku001260-18102","https://www.somogyi.hu/product/chameleon-sensibo-sky-2-0-klimavezerlo-modul-ku001260-18102")</f>
        <v>0.0</v>
      </c>
      <c r="E1944" s="7" t="n">
        <f>HYPERLINK("https://www.somogyi.hu/data/img/product_main_images/small/18102.jpg","https://www.somogyi.hu/data/img/product_main_images/small/18102.jpg")</f>
        <v>0.0</v>
      </c>
      <c r="F1944" s="2" t="inlineStr">
        <is>
          <t>7290016037159</t>
        </is>
      </c>
      <c r="G1944" s="4" t="inlineStr">
        <is>
          <t>Infravörös beltéri klímavezérlő modul. Kompatibilis a piacon lévő nagy klímagyártók termékeivel. A modul segítségével távolról is kezelhetjük klímaberendezésünket. Összehangolható a hűtés-fűtés rendszerrel és a hő-és páratartalom érzékelőkkel is.</t>
        </is>
      </c>
    </row>
    <row r="1945">
      <c r="A1945" s="3" t="inlineStr">
        <is>
          <t>CH-WZB-SSW-200</t>
        </is>
      </c>
      <c r="B1945" s="2" t="inlineStr">
        <is>
          <t>Chameleon, vezeték nélküli kétkörös jelenetkapcsoló</t>
        </is>
      </c>
      <c r="C1945" s="1" t="n">
        <v>8290.0</v>
      </c>
      <c r="D1945" s="7" t="n">
        <f>HYPERLINK("https://www.somogyi.hu/product/chameleon-vezetek-nelkuli-ketkoros-jelenetkapcsolo-ch-wzb-ssw-200-18426","https://www.somogyi.hu/product/chameleon-vezetek-nelkuli-ketkoros-jelenetkapcsolo-ch-wzb-ssw-200-18426")</f>
        <v>0.0</v>
      </c>
      <c r="E1945" s="7" t="n">
        <f>HYPERLINK("https://www.somogyi.hu/data/img/product_main_images/small/18426.jpg","https://www.somogyi.hu/data/img/product_main_images/small/18426.jpg")</f>
        <v>0.0</v>
      </c>
      <c r="F1945" s="2" t="inlineStr">
        <is>
          <t>5999572900236</t>
        </is>
      </c>
      <c r="G1945" s="4" t="inlineStr">
        <is>
          <t xml:space="preserve"> • Áramforrás: CR2032 elem 
 • Protokoll: ZigBee 3.0 
 • Működési frekvencia: 2,4 GHz 
 • Működési Hőmérséklet: -10℃~45℃ 
 • IP Védettség: IP20 
 • Támogatott Rendszerek: Android/iOS 
 • Méret: 110x110x20 mm</t>
        </is>
      </c>
    </row>
    <row r="1946">
      <c r="A1946" s="3" t="inlineStr">
        <is>
          <t>CH-WMP-COR-100</t>
        </is>
      </c>
      <c r="B1946" s="2" t="inlineStr">
        <is>
          <t>Chameleon CH-WMP-COR-100 vezeték nélküli központ, okostelefonnal vezérelhető, USB-C, BT 5.2, Wifi: 2.4 / 5 G, 500 mA / 5 V adapter, 180 x 180 x 77 mm</t>
        </is>
      </c>
      <c r="C1946" s="1" t="n">
        <v>125990.0</v>
      </c>
      <c r="D1946" s="7" t="n">
        <f>HYPERLINK("https://www.somogyi.hu/product/chameleon-ch-wmp-cor-100-vezetek-nelkuli-kozpont-okostelefonnal-vezerelheto-usb-c-bt-5-2-wifi-2-4-5-g-500-ma-5-v-adapter-180-x-180-x-77-mm-ch-wmp-cor-100-18100","https://www.somogyi.hu/product/chameleon-ch-wmp-cor-100-vezetek-nelkuli-kozpont-okostelefonnal-vezerelheto-usb-c-bt-5-2-wifi-2-4-5-g-500-ma-5-v-adapter-180-x-180-x-77-mm-ch-wmp-cor-100-18100")</f>
        <v>0.0</v>
      </c>
      <c r="E1946" s="7" t="n">
        <f>HYPERLINK("https://www.somogyi.hu/data/img/product_main_images/small/18100.jpg","https://www.somogyi.hu/data/img/product_main_images/small/18100.jpg")</f>
        <v>0.0</v>
      </c>
      <c r="F1946" s="2" t="inlineStr">
        <is>
          <t>5999572900310</t>
        </is>
      </c>
      <c r="G1946" s="4" t="inlineStr">
        <is>
          <t>Merüljön el a Chameleon CH-WMP-COR-100 vezeték nélküli központ segítségével az okos otthon technológia világában. Ez a készülék az otthoni automatizálás központja, amely lehetővé teszi az összes okos eszköz egyetlen rendszerbe való csatlakoztatását, így egyszerűsítve az otthoni életet.
A Chameleon okosotthon az eszközökbe beágyazott elektronika és érzékelők segítségével kommunikál, így a magyar nyelvű applikáció interneten keresztül való használatával bárhonnan irányíthatóvá válnak a központi rendszerbe integrált eszközei.
A CH-WMP-COR-100 minden funkciót kezel egyetlen, könnyen használható alkalmazáson keresztül, amely teljes kényelmet biztosít a felhasználónak. A készülék használatához csak egy Patch és egy USB-C kábel szükséges (a csomagolás tartalmazza), ami rendkívül kényelmes megoldást nyújt.
A Chameleon okosotthon monitorozza a házban lévő eszközök működését és állapotát, valamint a környezetben bekövetkezett változásokat. A rendszer lehetőséget ad Önnek arra, hogy igényeire szabva változtathassa környezetét.
A vezeték nélküli központ támogatja a ZigBee 3.0, Z-Wave, és BT 5.2 technológiákat, valamint képes a 2.4 G és 5 G Wifi kapcsolatra. A Quad-core Cortex A35 CPU, 2 GB RAM, 8 GB eMMC tárhely, SD kártya foglalat (max. 128 GB), és egy USB 2.0 port biztosítja, hogy az eszköz minden igényt kielégítsen. Egy 500 mA / 5 V adapter szolgáltatja a stabil tápellátást.
Az okos otthon használatával energiát és áramot spórolhat meg, mely nem csupán környezetbarát, hanem pénztárcabarát megoldás is. A központ méretei (180 x 180 x 77 mm) lehetővé teszik, hogy diszkréten illeszkedjen otthoni környezetébe.
Válassza a megbízható, magyar nyelvű applikációval és ügyfélszolgálattal rendelkező Chameleon márka CH-WMP-COR-100 vezeték nélküli központját, és élvezze otthona kezelésének kényelmét!</t>
        </is>
      </c>
    </row>
    <row r="1947">
      <c r="A1947" s="3" t="inlineStr">
        <is>
          <t>CH-WZB-THP-100</t>
        </is>
      </c>
      <c r="B1947" s="2" t="inlineStr">
        <is>
          <t>Chameleon CH-WZB-THP-100 hő- és páratartalomérzékelő, vezeték nélküli, 1 x CR2032 gombelem, ZigBee 3.0, 85 x 83 x 13 mm</t>
        </is>
      </c>
      <c r="C1947" s="1" t="n">
        <v>10790.0</v>
      </c>
      <c r="D1947" s="7" t="n">
        <f>HYPERLINK("https://www.somogyi.hu/product/chameleon-ch-wzb-thp-100-ho-es-paratartalomerzekelo-vezetek-nelkuli-1-x-cr2032-gombelem-zigbee-3-0-85-x-83-x-13-mm-ch-wzb-thp-100-18098","https://www.somogyi.hu/product/chameleon-ch-wzb-thp-100-ho-es-paratartalomerzekelo-vezetek-nelkuli-1-x-cr2032-gombelem-zigbee-3-0-85-x-83-x-13-mm-ch-wzb-thp-100-18098")</f>
        <v>0.0</v>
      </c>
      <c r="E1947" s="7" t="n">
        <f>HYPERLINK("https://www.somogyi.hu/data/img/product_main_images/small/18098.jpg","https://www.somogyi.hu/data/img/product_main_images/small/18098.jpg")</f>
        <v>0.0</v>
      </c>
      <c r="F1947" s="2" t="inlineStr">
        <is>
          <t>5999572900298</t>
        </is>
      </c>
      <c r="G1947" s="4" t="inlineStr">
        <is>
          <t>Fedezze fel a Chameleon CH-WZB-THP-100 vezeték nélküli hő- és páratartalom érzékelőt, amely új szintre emeli otthoni környezetének monitorozását. Ez az eszköz lehetővé teszi az aktuális hőmérséklet és páratartalom pontos nyomonkövetését.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CH-WZB-THP-100 nem igényel hálózati áramforrást, ami rendkívül rugalmas és kényelmes megoldást nyújt.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készülék méretei (85 x 83 x 13 mm) lehetővé teszik, hogy diszkréten illeszkedjen a helységbe, így nem zavarja a lakás esztétikáját.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CH-WZB-THP-100 vezeték nélküli hő- és páratartalom érzékelőjét, és élvezze otthona kezelésének kényelmét!</t>
        </is>
      </c>
    </row>
    <row r="1948">
      <c r="A1948" s="3" t="inlineStr">
        <is>
          <t>CH-WZB-WLD-100</t>
        </is>
      </c>
      <c r="B1948" s="2" t="inlineStr">
        <is>
          <t>Chameleon CH-WZB-WLD-100 vízbetörés érzékelő, vezeték nélküli, csőtörés riasztás applikációban, 1 x CR2032, ∅58 x 31 mm</t>
        </is>
      </c>
      <c r="C1948" s="1" t="n">
        <v>11290.0</v>
      </c>
      <c r="D1948" s="7" t="n">
        <f>HYPERLINK("https://www.somogyi.hu/product/chameleon-ch-wzb-wld-100-vizbetores-erzekelo-vezetek-nelkuli-csotores-riasztas-applikacioban-1-x-cr2032-58-x-31-mm-ch-wzb-wld-100-18097","https://www.somogyi.hu/product/chameleon-ch-wzb-wld-100-vizbetores-erzekelo-vezetek-nelkuli-csotores-riasztas-applikacioban-1-x-cr2032-58-x-31-mm-ch-wzb-wld-100-18097")</f>
        <v>0.0</v>
      </c>
      <c r="E1948" s="7" t="n">
        <f>HYPERLINK("https://www.somogyi.hu/data/img/product_main_images/small/18097.jpg","https://www.somogyi.hu/data/img/product_main_images/small/18097.jpg")</f>
        <v>0.0</v>
      </c>
      <c r="F1948" s="2" t="inlineStr">
        <is>
          <t>5999572900311</t>
        </is>
      </c>
      <c r="G1948" s="4" t="inlineStr">
        <is>
          <t>Ismerje meg a Chameleon CH-WZB-WLD-100 vezeték nélküli vízbetörés érzékelőt, amely kiemelkedő biztonsági megoldást nyújt otthonának vízszivárgás és csőtörés esetén. Ez az innovatív eszköz azonnali riasztást küld, ha vízszivárgást észlel, így gyorsan cselekedhet a probléma elhárítása érdekében.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CH-WZB-WLD-100 nem igényel hálózati áramforrást, így rugalmasan telepíthető a leginkább kockázatos területeken.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vízbetörés érzékelő mérete (átmérő 58 x 31 mm) révén diszkréten illeszkedik a kiválasztott helyre.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CH-WZB-WLD-100 vezeték nélküli vízbetörés érzékelőjét, és élvezze otthona kezelésének kényelmét!</t>
        </is>
      </c>
    </row>
    <row r="1949">
      <c r="A1949" s="3" t="inlineStr">
        <is>
          <t>CH-WZB-GMS-100</t>
        </is>
      </c>
      <c r="B1949" s="2" t="inlineStr">
        <is>
          <t>Chameleon CH-WZB-GMS-100 nyitásérzékelő, vezeték nélküli, öntapadós, 1 x CR2032 gombelem, ZigBee 3.0, 84 x 83 x 13 mm</t>
        </is>
      </c>
      <c r="C1949" s="1" t="n">
        <v>11290.0</v>
      </c>
      <c r="D1949" s="7" t="n">
        <f>HYPERLINK("https://www.somogyi.hu/product/chameleon-ch-wzb-gms-100-nyitaserzekelo-vezetek-nelkuli-ontapados-1-x-cr2032-gombelem-zigbee-3-0-84-x-83-x-13-mm-ch-wzb-gms-100-18096","https://www.somogyi.hu/product/chameleon-ch-wzb-gms-100-nyitaserzekelo-vezetek-nelkuli-ontapados-1-x-cr2032-gombelem-zigbee-3-0-84-x-83-x-13-mm-ch-wzb-gms-100-18096")</f>
        <v>0.0</v>
      </c>
      <c r="E1949" s="7" t="n">
        <f>HYPERLINK("https://www.somogyi.hu/data/img/product_main_images/small/18096.jpg","https://www.somogyi.hu/data/img/product_main_images/small/18096.jpg")</f>
        <v>0.0</v>
      </c>
      <c r="F1949" s="2" t="inlineStr">
        <is>
          <t>5999572900304</t>
        </is>
      </c>
      <c r="G1949" s="4" t="inlineStr">
        <is>
          <t>Ismerje meg a Chameleon CH-WZB-GMS-100 vezeték nélküli nyitásérzékelőt, amely kifinomult kényelmi és biztonsági megoldást kínál otthonához. Ez a készülék könnyedén elhelyezhető bármilyen ajtóra vagy ablakra az öntapadós megoldásának köszönhetően.
A Chameleon okosotthon rendszer az eszközökbe beágyazott elektronika és érzékelők segítségével kommunikál, így az applikáció interneten keresztül való használatával bárhonnan irányíthatóvá válnak a központi rendszerbe integrált eszközei.
Az eszköz ZigBee 3.0 technológiát használ, és biztosítja a stabil és megbízható vezeték nélküli kapcsolatot. Méretei (84 x 83 x 13 mm) révén kis helyet foglal, és könnyen illeszkedik otthoni környezetébe.
A Chameleon okosotthon monitorozza a házban lévő eszközök működését, állapotát, és a környezetben bekövetkezett változásokat. A rendszer lehetőséget ad Önnek arra, hogy igényeire szabva változtathassa környezetét.
Az elemes kialakításnak köszönhetően a CH-WZB-GMS-100 nem igényel hálózati áramforrást, így a telepítése rendkívül egyszerű és rugalmas. Tápellátása egy darab CR2032 gombelemmel történik, így hosszú ideig megbízhatóan működik.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CH-WZB-GMS-100 vezeték nélküli nyitásérzékelőjét, és élvezze otthona kezelésének kényelmét!</t>
        </is>
      </c>
    </row>
    <row r="1950">
      <c r="A1950" s="3" t="inlineStr">
        <is>
          <t>CH-WZB-WPM-100</t>
        </is>
      </c>
      <c r="B1950" s="2" t="inlineStr">
        <is>
          <t>Chameleon CH-WZB-WPM-100 fogyasztásmérő dugalj, vezeték nélküli, 16 A, 220 - 240 V, ki-bekapcsolás, ZigBee 3.0, 89 x 55 x 55 mm</t>
        </is>
      </c>
      <c r="C1950" s="1" t="n">
        <v>12590.0</v>
      </c>
      <c r="D1950" s="7" t="n">
        <f>HYPERLINK("https://www.somogyi.hu/product/chameleon-ch-wzb-wpm-100-fogyasztasmero-dugalj-vezetek-nelkuli-16-a-220-240-v-ki-bekapcsolas-zigbee-3-0-89-x-55-x-55-mm-ch-wzb-wpm-100-18094","https://www.somogyi.hu/product/chameleon-ch-wzb-wpm-100-fogyasztasmero-dugalj-vezetek-nelkuli-16-a-220-240-v-ki-bekapcsolas-zigbee-3-0-89-x-55-x-55-mm-ch-wzb-wpm-100-18094")</f>
        <v>0.0</v>
      </c>
      <c r="E1950" s="7" t="n">
        <f>HYPERLINK("https://www.somogyi.hu/data/img/product_main_images/small/18094.jpg","https://www.somogyi.hu/data/img/product_main_images/small/18094.jpg")</f>
        <v>0.0</v>
      </c>
      <c r="F1950" s="2" t="inlineStr">
        <is>
          <t>5999572900366</t>
        </is>
      </c>
      <c r="G1950" s="4" t="inlineStr">
        <is>
          <t>Fedezze fel a Chameleon CH-WZB-WPM-100 vezeték nélküli fogyasztásmérő dugaljat, amely egy új szintre emeli otthoni energiafelhasználásának kezelését. Ez a készülék lehetővé teszi, hogy pontosan nyomon kövesse és távolról mérje az otthoni készülékek energiafogyasztását.
A Chameleon okosotthon rendszer az eszközökbe beágyazott elektronika és érzékelők segítségével kommunikál, így az applikáció interneten keresztül való használatával bárhonnan irányíthatóvá válnak a központi rendszerbe integrált eszközei.
A dugalj ZigBee 3.0 technológiát használ, és biztosítja az eszköz gyors és megbízható vezeték nélküli kommunikációját.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fogyasztásmérő dugalj méretei (89 x 55 x 55 mm) révén könnyen beilleszthető a kívánt fali szerelvénybe, így nem zavarja az otthoni környezet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CH-WZB-WPM-100 vezeték nélküli fogyasztásmérő dugalját, és élvezze otthoni energiafelhasználásának hatékony kezelését!</t>
        </is>
      </c>
    </row>
    <row r="1951">
      <c r="A1951" s="3" t="inlineStr">
        <is>
          <t>CH-WZB-WOL-100</t>
        </is>
      </c>
      <c r="B1951" s="2" t="inlineStr">
        <is>
          <t>Chameleon CH-WZB-WOL-100 kapcsolható konnektor, vezeték nélküli, 16 A, 220 - 240 V, helyi állapotváltó kapcsoló, ZigBee 3.0, 91 x 106 x 55 mm</t>
        </is>
      </c>
      <c r="C1951" s="1" t="n">
        <v>11290.0</v>
      </c>
      <c r="D1951" s="7" t="n">
        <f>HYPERLINK("https://www.somogyi.hu/product/chameleon-ch-wzb-wol-100-kapcsolhato-konnektor-vezetek-nelkuli-16-a-220-240-v-helyi-allapotvalto-kapcsolo-zigbee-3-0-91-x-106-x-55-mm-ch-wzb-wol-100-18093","https://www.somogyi.hu/product/chameleon-ch-wzb-wol-100-kapcsolhato-konnektor-vezetek-nelkuli-16-a-220-240-v-helyi-allapotvalto-kapcsolo-zigbee-3-0-91-x-106-x-55-mm-ch-wzb-wol-100-18093")</f>
        <v>0.0</v>
      </c>
      <c r="E1951" s="7" t="n">
        <f>HYPERLINK("https://www.somogyi.hu/data/img/product_main_images/small/18093.jpg","https://www.somogyi.hu/data/img/product_main_images/small/18093.jpg")</f>
        <v>0.0</v>
      </c>
      <c r="F1951" s="2" t="inlineStr">
        <is>
          <t>5999572900199</t>
        </is>
      </c>
      <c r="G1951" s="4" t="inlineStr">
        <is>
          <t>Fedezze fel a Chameleon CH-WZB-WOL-100 vezeték nélküli kapcsolható konnektort, egy innovatív eszközt, amely lehetővé teszi az otthoni elektromos berendezések egyszerű és kényelmes távoli ki- és bekapcsolását. Ez a készülék a modern okosotthonok elengedhetetlen kiegészítője, amely tökéletesen integrálódik a meglévő villamos rendszerbe.
A Chameleon okosotthon rendszer az eszközökbe beágyazott elektronika és érzékelők segítségével kommunikál, így az applikáció interneten keresztül való használatával bárhonnan irányíthatóvá válnak a központi rendszerbe integrált eszközei.
A konnektor ZigBee 3.0 technológiával működik, biztosítva a gyors és stabil vezeték nélküli kapcsolatot.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helyi állapotváltó kapcsoló biztosítja, hogy a konnektor a központi rendszer esetleges meghibásodása esetén is működjön, így biztosítva a folyamatos használhatóságot. A konnektor méretei (91 x 106 x 55 mm) révén könnyen elhelyezhető a kívánt helyen.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CH-WZB-WOL-100 vezeték nélküli kapcsolható konnektorát, és élvezze otthona kezelésének kényelmét!</t>
        </is>
      </c>
    </row>
    <row r="1952">
      <c r="A1952" s="3" t="inlineStr">
        <is>
          <t>CH-WZB-SSW-300</t>
        </is>
      </c>
      <c r="B1952" s="2" t="inlineStr">
        <is>
          <t>Chameleon, vezeték nélküli háromkörös jelenetkapcsoló</t>
        </is>
      </c>
      <c r="C1952" s="1" t="n">
        <v>8290.0</v>
      </c>
      <c r="D1952" s="7" t="n">
        <f>HYPERLINK("https://www.somogyi.hu/product/chameleon-vezetek-nelkuli-haromkoros-jelenetkapcsolo-ch-wzb-ssw-300-18427","https://www.somogyi.hu/product/chameleon-vezetek-nelkuli-haromkoros-jelenetkapcsolo-ch-wzb-ssw-300-18427")</f>
        <v>0.0</v>
      </c>
      <c r="E1952" s="7" t="n">
        <f>HYPERLINK("https://www.somogyi.hu/data/img/product_main_images/small/18427.jpg","https://www.somogyi.hu/data/img/product_main_images/small/18427.jpg")</f>
        <v>0.0</v>
      </c>
      <c r="F1952" s="2" t="inlineStr">
        <is>
          <t>5999572900243</t>
        </is>
      </c>
      <c r="G1952" s="4" t="inlineStr">
        <is>
          <t xml:space="preserve"> • Áramforrás: CR2032 elem 
 • Protokoll: ZigBee 3.0 
 • Működési frekvencia: 2,4 GHz 
 • Működési Hőmérséklet: -10℃~45℃ 
 • IP Védettség: IP20 
 • Támogatott Rendszerek: Android/iOS 
 • Méret: 110x110x20 mm</t>
        </is>
      </c>
    </row>
    <row r="1953">
      <c r="A1953" s="3" t="inlineStr">
        <is>
          <t>CH-WZB-WSW-300</t>
        </is>
      </c>
      <c r="B1953" s="2" t="inlineStr">
        <is>
          <t>Chameleon CH-WZB-WSW-300 háromkörös kapcsoló, vezeték nélküli, 150 m hatótáv, 3 kimeneti csatorna, 230 V, ZigBee 3.0, 109 x 101 x 53 mm</t>
        </is>
      </c>
      <c r="C1953" s="1" t="n">
        <v>10790.0</v>
      </c>
      <c r="D1953" s="7" t="n">
        <f>HYPERLINK("https://www.somogyi.hu/product/chameleon-ch-wzb-wsw-300-haromkoros-kapcsolo-vezetek-nelkuli-150-m-hatotav-3-kimeneti-csatorna-230-v-zigbee-3-0-109-x-101-x-53-mm-ch-wzb-wsw-300-18092","https://www.somogyi.hu/product/chameleon-ch-wzb-wsw-300-haromkoros-kapcsolo-vezetek-nelkuli-150-m-hatotav-3-kimeneti-csatorna-230-v-zigbee-3-0-109-x-101-x-53-mm-ch-wzb-wsw-300-18092")</f>
        <v>0.0</v>
      </c>
      <c r="E1953" s="7" t="n">
        <f>HYPERLINK("https://www.somogyi.hu/data/img/product_main_images/small/18092.jpg","https://www.somogyi.hu/data/img/product_main_images/small/18092.jpg")</f>
        <v>0.0</v>
      </c>
      <c r="F1953" s="2" t="inlineStr">
        <is>
          <t>5999572900250</t>
        </is>
      </c>
      <c r="G1953" s="4" t="inlineStr">
        <is>
          <t>Fedezze fel a Chameleon CH-WZB-WSW-300 vezeték nélküli háromkörös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CH-WZB-WSW-300 vezeték nélküli háromkörös kapcsolóját, és élvezze otthona kezelésének kényelmét!</t>
        </is>
      </c>
    </row>
    <row r="1954">
      <c r="A1954" s="3" t="inlineStr">
        <is>
          <t>CH-WZB-FMS-310</t>
        </is>
      </c>
      <c r="B1954" s="2" t="inlineStr">
        <is>
          <t>Chameleon Flow sorolókeret sorolható kapcsolóhoz, 3 kimenet, szürke</t>
        </is>
      </c>
      <c r="C1954" s="1" t="n">
        <v>2090.0</v>
      </c>
      <c r="D1954" s="7" t="n">
        <f>HYPERLINK("https://www.somogyi.hu/product/chameleon-flow-sorolokeret-sorolhato-kapcsolohoz-3-kimenet-szurke-ch-wzb-fms-310-18432","https://www.somogyi.hu/product/chameleon-flow-sorolokeret-sorolhato-kapcsolohoz-3-kimenet-szurke-ch-wzb-fms-310-18432")</f>
        <v>0.0</v>
      </c>
      <c r="E1954" s="7" t="n">
        <f>HYPERLINK("https://www.somogyi.hu/data/img/product_main_images/small/18432.jpg","https://www.somogyi.hu/data/img/product_main_images/small/18432.jpg")</f>
        <v>0.0</v>
      </c>
      <c r="F1954" s="2" t="inlineStr">
        <is>
          <t>5999572900625</t>
        </is>
      </c>
      <c r="G1954" s="4" t="inlineStr">
        <is>
          <t xml:space="preserve"> • használhatóság: sorolókeret sorolható kapcsolóhoz, három kimenettel 
 • anyag: műanyag 
 • szín: szürke 
 • méret: 226 x 86 x 8,4 mm</t>
        </is>
      </c>
    </row>
    <row r="1955">
      <c r="A1955" s="3" t="inlineStr">
        <is>
          <t>CH-WZB-WSW-200</t>
        </is>
      </c>
      <c r="B1955" s="2" t="inlineStr">
        <is>
          <t>Chameleon CH-WZB-WSW-200 kétkörös kapcsoló, vezeték nélküli, 150 m hatótáv, 2 kimeneti csatorna, 230 V, ZigBee 3.0, 109 x 101 x 53 mm</t>
        </is>
      </c>
      <c r="C1955" s="1" t="n">
        <v>10790.0</v>
      </c>
      <c r="D1955" s="7" t="n">
        <f>HYPERLINK("https://www.somogyi.hu/product/chameleon-ch-wzb-wsw-200-ketkoros-kapcsolo-vezetek-nelkuli-150-m-hatotav-2-kimeneti-csatorna-230-v-zigbee-3-0-109-x-101-x-53-mm-ch-wzb-wsw-200-18091","https://www.somogyi.hu/product/chameleon-ch-wzb-wsw-200-ketkoros-kapcsolo-vezetek-nelkuli-150-m-hatotav-2-kimeneti-csatorna-230-v-zigbee-3-0-109-x-101-x-53-mm-ch-wzb-wsw-200-18091")</f>
        <v>0.0</v>
      </c>
      <c r="E1955" s="7" t="n">
        <f>HYPERLINK("https://www.somogyi.hu/data/img/product_main_images/small/18091.jpg","https://www.somogyi.hu/data/img/product_main_images/small/18091.jpg")</f>
        <v>0.0</v>
      </c>
      <c r="F1955" s="2" t="inlineStr">
        <is>
          <t>5999572900267</t>
        </is>
      </c>
      <c r="G1955" s="4" t="inlineStr">
        <is>
          <t>Fedezze fel a Chameleon CH-WZB-WSW-200 vezeték nélküli kétkörös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CH-WZB-WSW-200 vezeték nélküli kétkörös kapcsolóját, és élvezze otthona kezelésének kényelmét!</t>
        </is>
      </c>
    </row>
    <row r="1956">
      <c r="A1956" s="3" t="inlineStr">
        <is>
          <t>CH-WZB-WSW-100</t>
        </is>
      </c>
      <c r="B1956" s="2" t="inlineStr">
        <is>
          <t>Chameleon CH-WZB-WSW-100 egykörös kapcsoló, vezeték nélküli, 150 m hatótáv, 1 kimeneti csatorna, 230 V, ZigBee 3.0, 109 x 101 x 53 mm</t>
        </is>
      </c>
      <c r="C1956" s="1" t="n">
        <v>9590.0</v>
      </c>
      <c r="D1956" s="7" t="n">
        <f>HYPERLINK("https://www.somogyi.hu/product/chameleon-ch-wzb-wsw-100-egykoros-kapcsolo-vezetek-nelkuli-150-m-hatotav-1-kimeneti-csatorna-230-v-zigbee-3-0-109-x-101-x-53-mm-ch-wzb-wsw-100-18090","https://www.somogyi.hu/product/chameleon-ch-wzb-wsw-100-egykoros-kapcsolo-vezetek-nelkuli-150-m-hatotav-1-kimeneti-csatorna-230-v-zigbee-3-0-109-x-101-x-53-mm-ch-wzb-wsw-100-18090")</f>
        <v>0.0</v>
      </c>
      <c r="E1956" s="7" t="n">
        <f>HYPERLINK("https://www.somogyi.hu/data/img/product_main_images/small/18090.jpg","https://www.somogyi.hu/data/img/product_main_images/small/18090.jpg")</f>
        <v>0.0</v>
      </c>
      <c r="F1956" s="2" t="inlineStr">
        <is>
          <t>5999572900274</t>
        </is>
      </c>
      <c r="G1956" s="4" t="inlineStr">
        <is>
          <t>Fedezze fel a Chameleon CH-WZB-WSW-100 vezeték nélküli egykörös kapcsolót, amely a modern okos otthonok számára kínál egyszerű, mégis hatékony vezérlési megoldást. Ez a készülék ideális választás, ha egyszerűen, távolról szeretné vezérelni otthona egy eszközét,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CH-WZB-WSW-100 vezeték nélküli egykörös kapcsolóját, és élvezze otthona kezelésének kényelmét!</t>
        </is>
      </c>
    </row>
    <row r="1957">
      <c r="A1957" s="3" t="inlineStr">
        <is>
          <t>CH-WZB-FMS-210</t>
        </is>
      </c>
      <c r="B1957" s="2" t="inlineStr">
        <is>
          <t>Chameleon Flow sorolókeret sorolható kapcsolóhoz, 2 kimenet, szürke</t>
        </is>
      </c>
      <c r="C1957" s="1" t="n">
        <v>1790.0</v>
      </c>
      <c r="D1957" s="7" t="n">
        <f>HYPERLINK("https://www.somogyi.hu/product/chameleon-flow-sorolokeret-sorolhato-kapcsolohoz-2-kimenet-szurke-ch-wzb-fms-210-18430","https://www.somogyi.hu/product/chameleon-flow-sorolokeret-sorolhato-kapcsolohoz-2-kimenet-szurke-ch-wzb-fms-210-18430")</f>
        <v>0.0</v>
      </c>
      <c r="E1957" s="7" t="n">
        <f>HYPERLINK("https://www.somogyi.hu/data/img/product_main_images/small/18430.jpg","https://www.somogyi.hu/data/img/product_main_images/small/18430.jpg")</f>
        <v>0.0</v>
      </c>
      <c r="F1957" s="2" t="inlineStr">
        <is>
          <t>5999572900618</t>
        </is>
      </c>
      <c r="G1957" s="4" t="inlineStr">
        <is>
          <t xml:space="preserve"> • használhatóság: sorolókeret sorolható kapcsolóhoz, két kimenettel 
 • anyag: műanyag 
 • szín: szürke 
 • méret: 156 x 86 x 8,4 mm</t>
        </is>
      </c>
    </row>
    <row r="1958">
      <c r="A1958" s="3" t="inlineStr">
        <is>
          <t>CH-WZB-DI2-100</t>
        </is>
      </c>
      <c r="B1958" s="2" t="inlineStr">
        <is>
          <t>Chameleon CH-WZB-DI2-100 fényerőszabályzó fali modul, vezeték nélküli, 2 fázisú, max. 10 A / áramkör, dimmer, ZigBee 3.0, 18 x 47 x 52 mm</t>
        </is>
      </c>
      <c r="C1958" s="1" t="n">
        <v>12590.0</v>
      </c>
      <c r="D1958" s="7" t="n">
        <f>HYPERLINK("https://www.somogyi.hu/product/chameleon-ch-wzb-di2-100-fenyeroszabalyzo-fali-modul-vezetek-nelkuli-2-fazisu-max-10-a-aramkor-dimmer-zigbee-3-0-18-x-47-x-52-mm-ch-wzb-di2-100-18089","https://www.somogyi.hu/product/chameleon-ch-wzb-di2-100-fenyeroszabalyzo-fali-modul-vezetek-nelkuli-2-fazisu-max-10-a-aramkor-dimmer-zigbee-3-0-18-x-47-x-52-mm-ch-wzb-di2-100-18089")</f>
        <v>0.0</v>
      </c>
      <c r="E1958" s="7" t="n">
        <f>HYPERLINK("https://www.somogyi.hu/data/img/product_main_images/small/18089.jpg","https://www.somogyi.hu/data/img/product_main_images/small/18089.jpg")</f>
        <v>0.0</v>
      </c>
      <c r="F1958" s="2" t="inlineStr">
        <is>
          <t>5999572900342</t>
        </is>
      </c>
      <c r="G1958" s="4" t="inlineStr">
        <is>
          <t>Fedezze fel az okos otthon világát a Chameleon CH-WZB-DI2-100 fényerőszabályzó fali modullal, amely hatékony, vezeték nélküli megoldást kínál otthoni világításának testreszabására.
A Chameleon okosotthon rendszer az eszközökbe beágyazott elektronika és érzékelők segítségével kommunikál, így az applikáció interneten keresztül való használatával bárhonnan irányíthatóvá válnak a központi rendszerbe integrált eszközei.
A modul ZigBee 3.0 rendszert használ, így lehetővé teszi a különböző 230 V-os kapcsolókörök okostelefonról való vezérlését és a fényerőszintek precíz és rendkívül kényelmes beállítását. Az eszköz magyar nyelvű és könnyen kezelhető applikációjával egyszerűen alkothat meg jeleneteket és szabályokat.
A Chameleon okosotthon monitorozza a házban lévő eszközök működését, állapotát, és a környezetben bekövetkezett változásokat. A rendszer lehetőséget ad Önnek arra, hogy igényeire szabva változtathassa környezetét. Többé nem fordulhat elő, hogy akár egész nap felkapcsolva maradjon a világítás!
Az okos otthon használatával energiát és áramot spórolhat meg, mely nem csupán környezetbarát, hanem pénztárcabarát megoldás is.
Ez a 2 fázisú dimmer modul könnyedén elrejthető a fali szerelvények mögött. Méretei (18 x 47 x 52 mm) révén nem foglal sok helyet, diszkréten illeszkedik otthoni környezetébe. Áramkörönként maximálisan 10 A terhelést kezel, és tökéletesen alkalmazkodik a modern háztartások világítási igényeihez.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CH-WZB-DI2-100 fényerőszabályzó fali modulját, és élvezze otthona kezelésének kényelmét!</t>
        </is>
      </c>
    </row>
    <row r="1959">
      <c r="A1959" s="3" t="inlineStr">
        <is>
          <t>CH-WZB-FMS-200</t>
        </is>
      </c>
      <c r="B1959" s="2" t="inlineStr">
        <is>
          <t>Chameleon Flow sorolókeret sorolható kapcsolóhoz, 2 kimenet, fehér</t>
        </is>
      </c>
      <c r="C1959" s="1" t="n">
        <v>1790.0</v>
      </c>
      <c r="D1959" s="7" t="n">
        <f>HYPERLINK("https://www.somogyi.hu/product/chameleon-flow-sorolokeret-sorolhato-kapcsolohoz-2-kimenet-feher-ch-wzb-fms-200-18429","https://www.somogyi.hu/product/chameleon-flow-sorolokeret-sorolhato-kapcsolohoz-2-kimenet-feher-ch-wzb-fms-200-18429")</f>
        <v>0.0</v>
      </c>
      <c r="E1959" s="7" t="n">
        <f>HYPERLINK("https://www.somogyi.hu/data/img/product_main_images/small/18429.jpg","https://www.somogyi.hu/data/img/product_main_images/small/18429.jpg")</f>
        <v>0.0</v>
      </c>
      <c r="F1959" s="2" t="inlineStr">
        <is>
          <t>5999572900588</t>
        </is>
      </c>
      <c r="G1959" s="4" t="inlineStr">
        <is>
          <t xml:space="preserve"> • használhatóság: sorolókeret sorolható kapcsolóhoz, két kimenettel 
 • anyag: műanyag 
 • szín: fehér 
 • méret: 156 x 86 x 8,4 mm</t>
        </is>
      </c>
    </row>
    <row r="1960">
      <c r="A1960" s="3" t="inlineStr">
        <is>
          <t>CH-WZB-SH2-100</t>
        </is>
      </c>
      <c r="B1960" s="2" t="inlineStr">
        <is>
          <t>Chameleon CH-WZB-SH2-100 redőnyvezérlő fali modul, vezeték nélküli, nyitott vagy zárt állapot, max. 10 A / áramkör, ZigBee 3.0, 18 x 47 x 52 mm</t>
        </is>
      </c>
      <c r="C1960" s="1" t="n">
        <v>12590.0</v>
      </c>
      <c r="D1960" s="7" t="n">
        <f>HYPERLINK("https://www.somogyi.hu/product/chameleon-ch-wzb-sh2-100-redonyvezerlo-fali-modul-vezetek-nelkuli-nyitott-vagy-zart-allapot-max-10-a-aramkor-zigbee-3-0-18-x-47-x-52-mm-ch-wzb-sh2-100-18088","https://www.somogyi.hu/product/chameleon-ch-wzb-sh2-100-redonyvezerlo-fali-modul-vezetek-nelkuli-nyitott-vagy-zart-allapot-max-10-a-aramkor-zigbee-3-0-18-x-47-x-52-mm-ch-wzb-sh2-100-18088")</f>
        <v>0.0</v>
      </c>
      <c r="E1960" s="7" t="n">
        <f>HYPERLINK("https://www.somogyi.hu/data/img/product_main_images/small/18088.jpg","https://www.somogyi.hu/data/img/product_main_images/small/18088.jpg")</f>
        <v>0.0</v>
      </c>
      <c r="F1960" s="2" t="inlineStr">
        <is>
          <t>5999572900359</t>
        </is>
      </c>
      <c r="G1960" s="4" t="inlineStr">
        <is>
          <t>Fedezze fel a Chameleon CH-WZB-SH2-100 vezeték nélküli redőnyvezérlő fali modult, amely forradalmasítja az otthoni sötétítést. Ez a készülék diszkréten elhelyezhető a fali szerelvények mögött, így elegánsan és észrevétlenül integrálódik otthona környezetébe.
A Chameleon okosotthon rendszer az eszközökbe beágyazott elektronika és érzékelők segítségével kommunikál, így az applikáció interneten keresztül való használatával bárhonnan irányíthatóvá válnak a központi rendszerbe integrált eszközei.
A CH-WZB-SH2-100 modullal könnyedén vezérelheti otthona zsaluziáit, redőnyeit és árnyékolóit. Lehetőség van az adott árnyékolók nyitott vagy zárt állapotainak beállítására, teljes kontrollt biztosítva az otthoni fényviszonyok felett.
A Chameleon okosotthon monitorozza a házban lévő eszközök működését, állapotát, és a környezetben bekövetkezett változásokat. A rendszer lehetőséget ad Önnek arra, hogy igényeire szabva változtathassa környezetét.
A vezérlő modul ZigBee 3.0 technológiával működik, és biztosítja a gyors és megbízható vezeték nélküli kapcsolatot. Maximálisan 10 A terhelés kezelhető áramkörönként. Méretei (18 x 47 x 52 mm) révén a modul könnyen elfér kisebb helyeken is.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CH-WZB-SH2-100 vezeték nélküli redőnyvezérlő fali modulját, és élvezze otthona kezelésének kényelmét!</t>
        </is>
      </c>
    </row>
    <row r="1961">
      <c r="A1961" s="3" t="inlineStr">
        <is>
          <t>CH-WZB-WDM-400</t>
        </is>
      </c>
      <c r="B1961" s="2" t="inlineStr">
        <is>
          <t>Chameleon Vez. nélküli DIN-sínes fogyasztásmérő, 32A</t>
        </is>
      </c>
      <c r="C1961" s="1" t="n">
        <v>21590.0</v>
      </c>
      <c r="D1961" s="7" t="n">
        <f>HYPERLINK("https://www.somogyi.hu/product/chameleon-vez-nelkuli-din-sines-fogyasztasmero-32a-ch-wzb-wdm-400-18428","https://www.somogyi.hu/product/chameleon-vez-nelkuli-din-sines-fogyasztasmero-32a-ch-wzb-wdm-400-18428")</f>
        <v>0.0</v>
      </c>
      <c r="E1961" s="7" t="n">
        <f>HYPERLINK("https://www.somogyi.hu/data/img/product_main_images/small/18428.jpg","https://www.somogyi.hu/data/img/product_main_images/small/18428.jpg")</f>
        <v>0.0</v>
      </c>
      <c r="F1961" s="2" t="inlineStr">
        <is>
          <t>5999572900571</t>
        </is>
      </c>
      <c r="G1961" s="4" t="inlineStr">
        <is>
          <t xml:space="preserve"> • felhasználási feltétel: A készülék működéséhez központi egység szükséges ! (opció: Chameleon CH-WMP-COR-100) 
 • tápellátás: 110-240V~ 
 • kiemelt jellemzők: vezeték nélküli DIN-sínes fogyasztásmérő 
 • használhatóság: fogyasztásmérő modul, beltéri alkalmazásra, alkalmas lakások áramfogyasztásának mérésére 
 • kapcsolati protokoll: ZigBee 3.0 
 • működési frekvencia: 2,4 GHz 
 • működési hőmérséklet: -10℃~40℃ 
 • áramerősség: max. 32 A 
 • kompatibilitás: CH-WMP-COR-100 
 • hatótávolság: nyílt terepen: max.150 m 
 • kijelző / jelzőfény: LED indikátor 
 • víz elleni védettség: IP20 
 • anyag: műanyag 
 • méret: 87 x 72 x 22 mm 
 • tömeg: 111 g 
 • egyéb: támogatott rendszerek: Android/iOS</t>
        </is>
      </c>
    </row>
    <row r="1962">
      <c r="A1962" s="3" t="inlineStr">
        <is>
          <t>CH-WZB-FMS-300</t>
        </is>
      </c>
      <c r="B1962" s="2" t="inlineStr">
        <is>
          <t>Chameleon Flow sorolókeret sorolható kapcsolóhoz, 3 kimenet, fehér</t>
        </is>
      </c>
      <c r="C1962" s="1" t="n">
        <v>2090.0</v>
      </c>
      <c r="D1962" s="7" t="n">
        <f>HYPERLINK("https://www.somogyi.hu/product/chameleon-flow-sorolokeret-sorolhato-kapcsolohoz-3-kimenet-feher-ch-wzb-fms-300-18431","https://www.somogyi.hu/product/chameleon-flow-sorolokeret-sorolhato-kapcsolohoz-3-kimenet-feher-ch-wzb-fms-300-18431")</f>
        <v>0.0</v>
      </c>
      <c r="E1962" s="7" t="n">
        <f>HYPERLINK("https://www.somogyi.hu/data/img/product_main_images/small/18431.jpg","https://www.somogyi.hu/data/img/product_main_images/small/18431.jpg")</f>
        <v>0.0</v>
      </c>
      <c r="F1962" s="2" t="inlineStr">
        <is>
          <t>5999572900595</t>
        </is>
      </c>
      <c r="G1962" s="4" t="inlineStr">
        <is>
          <t xml:space="preserve"> • használhatóság: sorolókeret sorolható kapcsolóhoz, három kimenettel 
 • anyag: műanyag 
 • szín: fehér 
 • méret: 226 x 86 x 8,4 mm</t>
        </is>
      </c>
    </row>
    <row r="1963">
      <c r="A1963" s="6" t="inlineStr">
        <is>
          <t xml:space="preserve">   Mérés, szerszám, forrasztás / Multiméter</t>
        </is>
      </c>
      <c r="B1963" s="6" t="inlineStr">
        <is>
          <t/>
        </is>
      </c>
      <c r="C1963" s="6" t="inlineStr">
        <is>
          <t/>
        </is>
      </c>
      <c r="D1963" s="6" t="inlineStr">
        <is>
          <t/>
        </is>
      </c>
      <c r="E1963" s="6" t="inlineStr">
        <is>
          <t/>
        </is>
      </c>
      <c r="F1963" s="6" t="inlineStr">
        <is>
          <t/>
        </is>
      </c>
      <c r="G1963" s="6" t="inlineStr">
        <is>
          <t/>
        </is>
      </c>
    </row>
    <row r="1964">
      <c r="A1964" s="3" t="inlineStr">
        <is>
          <t>SMA 64</t>
        </is>
      </c>
      <c r="B1964" s="2" t="inlineStr">
        <is>
          <t>Home SMA 64 digitális multiméter, egyenfeszültség, váltófeszültség, egyenáram, váltóáram, ellenállás, hőmérséklet mérése</t>
        </is>
      </c>
      <c r="C1964" s="1" t="n">
        <v>19490.0</v>
      </c>
      <c r="D1964" s="7" t="n">
        <f>HYPERLINK("https://www.somogyi.hu/product/home-sma-64-digitalis-multimeter-egyenfeszultseg-valtofeszultseg-egyenaram-valtoaram-ellenallas-homerseklet-merese-sma-64-13759","https://www.somogyi.hu/product/home-sma-64-digitalis-multimeter-egyenfeszultseg-valtofeszultseg-egyenaram-valtoaram-ellenallas-homerseklet-merese-sma-64-13759")</f>
        <v>0.0</v>
      </c>
      <c r="E1964" s="7" t="n">
        <f>HYPERLINK("https://www.somogyi.hu/data/img/product_main_images/small/13759.jpg","https://www.somogyi.hu/data/img/product_main_images/small/13759.jpg")</f>
        <v>0.0</v>
      </c>
      <c r="F1964" s="2" t="inlineStr">
        <is>
          <t>5999084918118</t>
        </is>
      </c>
      <c r="G1964" s="4" t="inlineStr">
        <is>
          <t>Kíváncsi arra, hogyan végezhet precíz méréseket otthonában vagy műhelyében egyetlen eszközzel? A Home SMA 64 digitális multiméter a tökéletes választás azok számára, akik egy sokoldalú, felhasználóbarát műszerre vágyak, amely képes egyenfeszültség, váltófeszültség, egyenáram, váltóáram, ellenállás és hőmérséklet mérésére.
Ez a kiváló minőségű digitális multiméter ideális eszköz a legkülönfélébb elektromos és elektronikai mérésekhez. A csomag tartalmaz minden szükséges tartozékot a mérési feladatok azonnali megkezdéséhez: mérőzsinórokat a különböző típusú mérésekhez, egy tranzisztorvizsgáló aljzatot az elektromos komponensek teszteléséhez, egy hőmérő szondát a környezeti vagy eszközön belüli hőmérséklet méréséhez, valamint egy 9V (6F22 típusú) elemet, amely hosszú távon biztosítja a készülék energiaellátását.
A Home SMA 64 digitális multiméter kiemelkedik könnyű használhatóságával és megbízhatóságával, így tökéletes választás mind a hobbielektronikusok, mind a professzionális technikusok számára. A készülék kompakt kialakítása és a tartozékok széles választéka lehetővé teszi, hogy minden mérési feladatot gyorsan és hatékonyan végezhessen el.
Bízza a Home SMA 64 digitális multiméterre az elektromos és hőmérsékleti méréseit, és tapasztalja meg a precizitás és megbízhatóság új szintjét.</t>
        </is>
      </c>
    </row>
    <row r="1965">
      <c r="A1965" s="3" t="inlineStr">
        <is>
          <t>SMA 830</t>
        </is>
      </c>
      <c r="B1965" s="2" t="inlineStr">
        <is>
          <t>Home SMA 830 digitális multiméter, gyenfeszültség, váltófeszültség, egyenáram, ellenállás mérése, tartozékok: mérőzsinór</t>
        </is>
      </c>
      <c r="C1965" s="1" t="n">
        <v>8390.0</v>
      </c>
      <c r="D1965" s="7" t="n">
        <f>HYPERLINK("https://www.somogyi.hu/product/home-sma-830-digitalis-multimeter-gyenfeszultseg-valtofeszultseg-egyenaram-ellenallas-merese-tartozekok-merozsinor-sma-830-13762","https://www.somogyi.hu/product/home-sma-830-digitalis-multimeter-gyenfeszultseg-valtofeszultseg-egyenaram-ellenallas-merese-tartozekok-merozsinor-sma-830-13762")</f>
        <v>0.0</v>
      </c>
      <c r="E1965" s="7" t="n">
        <f>HYPERLINK("https://www.somogyi.hu/data/img/product_main_images/small/13762.jpg","https://www.somogyi.hu/data/img/product_main_images/small/13762.jpg")</f>
        <v>0.0</v>
      </c>
      <c r="F1965" s="2" t="inlineStr">
        <is>
          <t>5999084918149</t>
        </is>
      </c>
      <c r="G1965" s="4" t="inlineStr">
        <is>
          <t>Keres egy megbízható eszközt, amely szinte minden elektromos mérési igényét kielégíti, legyen az otthoni vagy szakmai használatra? A Home SMA 830 digitális multiméter az Ön tökéletes társa lesz, amikor precíz egyenfeszültség, váltófeszültség, egyenáram és ellenállás mérésekre van szükség.
Ez a kiváló digitális multiméter könnyen használható és rendkívül sokoldalú, tökéletes választás az elektromos rendszerek diagnosztizálásához, karbantartásához és javításához. A csomag tartalmazza a szükséges mérőzsinórokat, amelyekkel azonnal hozzáláthat a munkához, valamint egy 9V (6F22 típusú) elemet is, amely hosszú távú energiaellátást biztosít a multiméter számára.
A Home SMA 830 kialakítása felhasználóbarát és intuitív, így még a kezdők is könnyedén elsajátíthatják a használatát. Az eszköz kompakt méretének köszönhetően könnyen hordozható, így bárhol és bármikor kéznél lehet, amikor szükség van rá. Az ellenállás és áram mérési funkciók mellett a készülék lehetővé teszi a különböző elektromos komponensek tesztelését is, biztosítva az elektromos rendszerek biztonságos és hatékony működését.
Válassza a Home SMA 830 digitális multimétert, és élvezze a precíz mérések nyújtotta biztonságot és kényelmet minden elektromos feladat során.</t>
        </is>
      </c>
    </row>
    <row r="1966">
      <c r="A1966" s="3" t="inlineStr">
        <is>
          <t>SMA 92</t>
        </is>
      </c>
      <c r="B1966" s="2" t="inlineStr">
        <is>
          <t>Home SMA 92 digitális multiméter, egyenfeszültség, váltófeszültség, egyenáram, váltóáram, ellenállás, frekvencia mérése, automatikus méréshatárváltás</t>
        </is>
      </c>
      <c r="C1966" s="1" t="n">
        <v>10190.0</v>
      </c>
      <c r="D1966" s="7" t="n">
        <f>HYPERLINK("https://www.somogyi.hu/product/home-sma-92-digitalis-multimeter-egyenfeszultseg-valtofeszultseg-egyenaram-valtoaram-ellenallas-frekvencia-merese-automatikus-mereshatarvaltas-sma-92-13761","https://www.somogyi.hu/product/home-sma-92-digitalis-multimeter-egyenfeszultseg-valtofeszultseg-egyenaram-valtoaram-ellenallas-frekvencia-merese-automatikus-mereshatarvaltas-sma-92-13761")</f>
        <v>0.0</v>
      </c>
      <c r="E1966" s="7" t="n">
        <f>HYPERLINK("https://www.somogyi.hu/data/img/product_main_images/small/13761.jpg","https://www.somogyi.hu/data/img/product_main_images/small/13761.jpg")</f>
        <v>0.0</v>
      </c>
      <c r="F1966" s="2" t="inlineStr">
        <is>
          <t>5999084918132</t>
        </is>
      </c>
      <c r="G1966" s="4" t="inlineStr">
        <is>
          <t>Fedezze fel a Home SMA 92 digitális multimétert, amely minden mérési feladatot egyszerűvé és pontosabbá tesz! Ez a kifinomult eszköz automatikus méréshatárváltással is rendelkezik, amely lehetővé teszi az elektromos mennyiségek gyors és kényelmes mérését anélkül, hogy manuálisan kellene váltogatnia a tartományok között.
A készülék háttérvilágítású kijelzője biztosítja, hogy még rossz fényviszonyok mellett is könnyen leolvashatóak legyenek az értékek, így nincs többé fejfájás a sötétben végzett munkák miatt. A Home SMA 92 multiméter tartozéka mérőzsinórjai.
Legyen szó akár hobbielektronikai projektekről, otthoni javításokról, vagy szakmai felhasználásról, ez a multiméter megbízható társ lesz minden mérési feladatban. Válassza a Home SMA 92 digitális multimétert, és élvezze a mérések precizitását és kényelmét minden körülmények között!</t>
        </is>
      </c>
    </row>
    <row r="1967">
      <c r="A1967" s="3" t="inlineStr">
        <is>
          <t>VC 830L</t>
        </is>
      </c>
      <c r="B1967" s="2" t="inlineStr">
        <is>
          <t>Home VC 830L digitális multiméter, egyenfeszültség, váltófeszültség, egyenáram, ellenállás mérése, mért érték rögzítés</t>
        </is>
      </c>
      <c r="C1967" s="1" t="n">
        <v>5790.0</v>
      </c>
      <c r="D1967" s="7" t="n">
        <f>HYPERLINK("https://www.somogyi.hu/product/home-vc-830l-digitalis-multimeter-egyenfeszultseg-valtofeszultseg-egyenaram-ellenallas-merese-mert-ertek-rogzites-vc-830l-13767","https://www.somogyi.hu/product/home-vc-830l-digitalis-multimeter-egyenfeszultseg-valtofeszultseg-egyenaram-ellenallas-merese-mert-ertek-rogzites-vc-830l-13767")</f>
        <v>0.0</v>
      </c>
      <c r="E1967" s="7" t="n">
        <f>HYPERLINK("https://www.somogyi.hu/data/img/product_main_images/small/13767.jpg","https://www.somogyi.hu/data/img/product_main_images/small/13767.jpg")</f>
        <v>0.0</v>
      </c>
      <c r="F1967" s="2" t="inlineStr">
        <is>
          <t>5999084918194</t>
        </is>
      </c>
      <c r="G1967" s="4" t="inlineStr">
        <is>
          <t>Önnek is fontos, hogy pontos méréseket végezzen? A Home VC 830L digitális multiméter az Ön ideális segítőtársa lehet, amikor az egyenfeszültség, váltófeszültség, egyenáram, valamint az ellenállás méréséről van szó. Kompakt kialakítása és a könnyen olvasható kijelző, mely háttérvilágítással rendelkezik, biztosítja, hogy bármilyen környezetben kényelmesen használható legyen.
A műszer funkciói között szerepel a mérési értékek rögzítése is, ami lehetővé teszi az adatok későbbi elemzését vagy összehasonlítását. A csomag tartozékai között megtalálható a szükséges mérőzsinór.
Fedezze fel a Home VC 830L digitális multiméter nyújtotta precizitást és megbízhatóságot, amely minden otthoni műhely vagy professzionális felhasználás alapvető eszköze lehet. Ne hagyja, hogy a pontatlanságok megzavarják a munkáját; válassza a minőséget és a precizitást, amit ez a készülék kínál!</t>
        </is>
      </c>
    </row>
    <row r="1968">
      <c r="A1968" s="3" t="inlineStr">
        <is>
          <t>SMA 2101</t>
        </is>
      </c>
      <c r="B1968" s="2" t="inlineStr">
        <is>
          <t>Home SMA 2101 AC/DC lakatfogó, egyenfeszültség, váltófeszültség, egyenáram, váltóáram, ellenállás, frekvencia mérése, tartozékok: mérőzsinór, védőtok</t>
        </is>
      </c>
      <c r="C1968" s="1" t="n">
        <v>34790.0</v>
      </c>
      <c r="D1968" s="7" t="n">
        <f>HYPERLINK("https://www.somogyi.hu/product/home-sma-2101-ac-dc-lakatfogo-egyenfeszultseg-valtofeszultseg-egyenaram-valtoaram-ellenallas-frekvencia-merese-tartozekok-merozsinor-vedotok-sma-2101-13764","https://www.somogyi.hu/product/home-sma-2101-ac-dc-lakatfogo-egyenfeszultseg-valtofeszultseg-egyenaram-valtoaram-ellenallas-frekvencia-merese-tartozekok-merozsinor-vedotok-sma-2101-13764")</f>
        <v>0.0</v>
      </c>
      <c r="E1968" s="7" t="n">
        <f>HYPERLINK("https://www.somogyi.hu/data/img/product_main_images/small/13764.jpg","https://www.somogyi.hu/data/img/product_main_images/small/13764.jpg")</f>
        <v>0.0</v>
      </c>
      <c r="F1968" s="2" t="inlineStr">
        <is>
          <t>5999084918163</t>
        </is>
      </c>
      <c r="G1968" s="4" t="inlineStr">
        <is>
          <t>Szüksége van egy sokoldalú és megbízható eszközre, amely szinte minden elektromos mérési igényét kielégíti? A Home SMA 2101 AC/DC lakatfogó a tökéletes választás azok számára, akik egy kompakt, mégis erőteljes mérőműszerre vágyak, amely képes egyenfeszültség, váltófeszültség, egyenáram, váltóáram, ellenállás és frekvencia pontos mérésére.
Ez a lakatfogó ideális eszköz az elektromos rendszerek átfogó diagnosztizálásához és karbantartásához, legyen szó otthoni vagy ipari környezetről. A csomag tartalmaz mindent, ami a munka azonnali megkezdéséhez szükséges: mérőzsinórt a pontos és biztonságos csatlakoztatáshoz, egy védőtokot a lakatfogó védelmében történő tároláshoz és szállításhoz, valamint 3x1,5V (AAA) elemet a készülék működtetéséhez.
A Home SMA 2101 lakatfogóval a mérések gyorsak és egyszerűek. A készülék ergonomikus kialakítása és könnyű kezelhetősége lehetővé teszi a hosszú munkanapok során történő kényelmes használatot is. A tartozékok és a magas minőségű mérőműszer biztosítják, hogy minden mérési feladatot precízen és hatékonyan végezhessen el.
Válassza a Home SMA 2101 AC/DC lakatfogót, és legyen felkészült minden elektromos mérési kihívásra.</t>
        </is>
      </c>
    </row>
    <row r="1969">
      <c r="A1969" s="3" t="inlineStr">
        <is>
          <t>M 266</t>
        </is>
      </c>
      <c r="B1969" s="2" t="inlineStr">
        <is>
          <t>AC lakatfogó</t>
        </is>
      </c>
      <c r="C1969" s="1" t="n">
        <v>7290.0</v>
      </c>
      <c r="D1969" s="7" t="n">
        <f>HYPERLINK("https://www.somogyi.hu/product/ac-lakatfogo-m-266-2776","https://www.somogyi.hu/product/ac-lakatfogo-m-266-2776")</f>
        <v>0.0</v>
      </c>
      <c r="E1969" s="7" t="n">
        <f>HYPERLINK("https://www.somogyi.hu/data/img/product_main_images/small/02776.jpg","https://www.somogyi.hu/data/img/product_main_images/small/02776.jpg")</f>
        <v>0.0</v>
      </c>
      <c r="F1969" s="2" t="inlineStr">
        <is>
          <t>5998312731000</t>
        </is>
      </c>
      <c r="G1969" s="4" t="inlineStr">
        <is>
          <t>Keresse Ön is a villamossági mérésekhez a legprofesszionálisabb kialakítással rendelkező mérőműszereket, hogy a munkája során minél pontosabb és megbízhatóbb eredményeket kapjon.
Az MA 266 AC lakatfogó által jelzet értékeket jól olvasható formában egy LCD-n láthatjuk.
A lakatfogó tartozékai: mérőzsinór, védőtok, 9 V-os elem. Mérete: 96 mm x 235 mm x 46 mm. Válassza a minőségi termékeket és rendeljen webáruházunból!</t>
        </is>
      </c>
    </row>
    <row r="1970">
      <c r="A1970" s="3" t="inlineStr">
        <is>
          <t>SMA 19</t>
        </is>
      </c>
      <c r="B1970" s="2" t="inlineStr">
        <is>
          <t>Home SMA 19 digitális multiméter, automatikus méréshatárváltás, érintés nélküli fáziskeresés, háttérvilágítás, tartozék mérőzsinór</t>
        </is>
      </c>
      <c r="C1970" s="1" t="n">
        <v>21990.0</v>
      </c>
      <c r="D1970" s="7" t="n">
        <f>HYPERLINK("https://www.somogyi.hu/product/home-sma-19-digitalis-multimeter-automatikus-mereshatarvaltas-erintes-nelkuli-faziskereses-hattervilagitas-tartozek-merozsinor-sma-19-16090","https://www.somogyi.hu/product/home-sma-19-digitalis-multimeter-automatikus-mereshatarvaltas-erintes-nelkuli-faziskereses-hattervilagitas-tartozek-merozsinor-sma-19-16090")</f>
        <v>0.0</v>
      </c>
      <c r="E1970" s="7" t="n">
        <f>HYPERLINK("https://www.somogyi.hu/data/img/product_main_images/small/16090.jpg","https://www.somogyi.hu/data/img/product_main_images/small/16090.jpg")</f>
        <v>0.0</v>
      </c>
      <c r="F1970" s="2" t="inlineStr">
        <is>
          <t>5999084941222</t>
        </is>
      </c>
      <c r="G1970" s="4" t="inlineStr">
        <is>
          <t>Szeretne pontosabb méréseket végezni anélkül, hogy bonyolult beállításokkal kellene bajlódnia? A Home SMA 19 digitális multiméter az Ön számára tökéletes választás, mivel automatikus méréshatárváltással rendelkezik, ami lehetővé teszi a különböző mérési tartományok gyors és egyszerű kezelését anélkül, hogy manuálisan kellene állítania azokat.
Ez a kifinomult eszköz nem csak a hagyományos multiméter funkciókat kínálja, mint például feszültség, áram és ellenállás mérés, hanem érintés nélküli fáziskereső funkcióval is bír, amely biztonságos és gyors módja az aktív vezetékek azonosításának. A beépített háttérvilágításnak köszönhetően a kijelző könnyen olvasható még sötét vagy rosszul megvilágított munkaterületeken is, így a mérések pontosak és egyszerűen elvégezhetők minden körülmények között.
A csomag tartalmaz egy pár mérőzsinórt is, amely lehetővé teszi a készülék azonnali használatát, továbbá a tartozékok teljes körű támogatást nyújtanak a különböző mérési feladatokhoz. A Home SMA 19 digitális multiméter kompakt kialakítása és könnyű kezelhetősége miatt ideális választás mind otthoni, mind ipari elektromos munkákhoz.
Tegyen szert a Home SMA 19 digitális multiméterre, és élvezze a mérések egyszerűségét, pontosságát és biztonságát minden egyes használatkor.</t>
        </is>
      </c>
    </row>
    <row r="1971">
      <c r="A1971" s="3" t="inlineStr">
        <is>
          <t>SMA SMART 2</t>
        </is>
      </c>
      <c r="B1971" s="2" t="inlineStr">
        <is>
          <t>Home SMA SMART 2 multiméter, intelligens SMART azonosítás és manuális funkciók, érintés nélküli feszültségvizsgáló, automatikus méréshatár váltás</t>
        </is>
      </c>
      <c r="C1971" s="1" t="n">
        <v>12690.0</v>
      </c>
      <c r="D1971" s="7" t="n">
        <f>HYPERLINK("https://www.somogyi.hu/product/home-sma-smart-2-multimeter-intelligens-smart-azonositas-es-manualis-funkciok-erintes-nelkuli-feszultsegvizsgalo-automatikus-mereshatar-valtas-sma-smart-2-18056","https://www.somogyi.hu/product/home-sma-smart-2-multimeter-intelligens-smart-azonositas-es-manualis-funkciok-erintes-nelkuli-feszultsegvizsgalo-automatikus-mereshatar-valtas-sma-smart-2-18056")</f>
        <v>0.0</v>
      </c>
      <c r="E1971" s="7" t="n">
        <f>HYPERLINK("https://www.somogyi.hu/data/img/product_main_images/small/18056.jpg","https://www.somogyi.hu/data/img/product_main_images/small/18056.jpg")</f>
        <v>0.0</v>
      </c>
      <c r="F1971" s="2" t="inlineStr">
        <is>
          <t>5999084960780</t>
        </is>
      </c>
      <c r="G1971" s="4" t="inlineStr">
        <is>
          <t>Egy megbízható eszközt keres, amely minden elektromos mérési igényét kielégíti? A Home SMA SMART 2 digitális multiméter a tökéletes választás minden hobbielektronikus és szakember számára.
Ez a multiméter egy nagyméretű, megvilágított kijelzővel rendelkezik, ami könnyű leolvasást tesz lehetővé még rossz fényviszonyok mellett is. A beépített hátsó LED elemlámpa segítségével sötét helyeken is kényelmesen dolgozhat. Az intelligens SMART azonosítás automatikusan felismeri a mérendő mennyiséget, így Önnek nem kell manuálisan váltogatnia a funkciók között, bár a manuális beállítások lehetősége továbbra is megmarad. A TRUE RMS mérés garantálja a valós effektív értékek pontos mérését, függetlenül a jelalaktól.
További előnyei közé tartozik az érintés nélküli feszültségvizsgáló, a fáziskereső funkció, az automatikus méréshatár-váltás, valamint a mérővezeték helyes csatlakoztatásának jelzése. Az automatikus kikapcsolás funkció energiát takarít meg, míg a tartozék védőtok védelmet nyújt az eszköznek.
A Home SMA SMART 2 digitális multiméter kompakt mérete (67x133x18mm) és súlya (130g) miatt könnyedén hordozható, és a 2xCR2032 elemmel működik, amelyek nem részei a csomagnak. A csomag tartalmaz mérővezetékeket és egy védőtokot is, így a gombelemek beszerzése után azonnal használatra kész.
Válassza a Home SMA SMART 2 digitális multimétert, és élvezze a mérések új, kényelmesebb világát!</t>
        </is>
      </c>
    </row>
    <row r="1972">
      <c r="A1972" s="3" t="inlineStr">
        <is>
          <t>M 266AC</t>
        </is>
      </c>
      <c r="B1972" s="2" t="inlineStr">
        <is>
          <t>Home M 266AC AC lakatfogó, egyenfeszültség, váltófeszültség, váltóáram, ellenállás mérése</t>
        </is>
      </c>
      <c r="C1972" s="1" t="n">
        <v>11490.0</v>
      </c>
      <c r="D1972" s="7" t="n">
        <f>HYPERLINK("https://www.somogyi.hu/product/home-m-266ac-ac-lakatfogo-egyenfeszultseg-valtofeszultseg-valtoaram-ellenallas-merese-m-266ac-16381","https://www.somogyi.hu/product/home-m-266ac-ac-lakatfogo-egyenfeszultseg-valtofeszultseg-valtoaram-ellenallas-merese-m-266ac-16381")</f>
        <v>0.0</v>
      </c>
      <c r="E1972" s="7" t="n">
        <f>HYPERLINK("https://www.somogyi.hu/data/img/product_main_images/small/16381.jpg","https://www.somogyi.hu/data/img/product_main_images/small/16381.jpg")</f>
        <v>0.0</v>
      </c>
      <c r="F1972" s="2" t="inlineStr">
        <is>
          <t>5999084944131</t>
        </is>
      </c>
      <c r="G1972" s="4" t="inlineStr">
        <is>
          <t>Egy sokoldalú eszközt keres, amely képes az elektromos rendszerek teljes körű ellenőrzésére otthonában vagy munkahelyén? A Home M 266AC AC lakatfogó ideális választás azok számára, akik egy kompakt, mégis hatékony mérőeszközt keresnek az elektromos paraméterek széles skálájának mérésére.
Ez a különleges lakatfogó lehetővé teszi az egyenfeszültség, váltófeszültség, váltóáram, valamint az ellenállás pontos és megbízható mérését, így egy eszközben kínál megoldást az összes alapvető elektromos mérési igényre. A műszer egy 9V (6F22 típusú) elemmel működik, amely biztosítja a hosszú távú, megbízható használatot minden mérési feladat során.
A csomag tartalmazza a szükséges mérőzsinórt, amely lehetővé teszi a lakatfogó azonnali használatát, valamint egy védőtokot, amely megkönnyíti a szállítást és védelmet nyújt a készüléknek a sérülésekkel szemben. A Home M 266AC lakatfogó tökéletes választás mindazok számára, akik egy megbízható és könnyen használható mérőeszközt keresnek elektromos rendszereik karbantartásához, hibakereséséhez vagy egyszerűen csak a mindennapi felhasználáshoz.
Válassza a Home M 266AC AC lakatfogót, és biztosítsa az elektromos mérések egyszerűségét és pontosságát minden helyzetben.</t>
        </is>
      </c>
    </row>
    <row r="1973">
      <c r="A1973" s="6" t="inlineStr">
        <is>
          <t xml:space="preserve">   Mérés, szerszám, forrasztás / Mérőzsinór</t>
        </is>
      </c>
      <c r="B1973" s="6" t="inlineStr">
        <is>
          <t/>
        </is>
      </c>
      <c r="C1973" s="6" t="inlineStr">
        <is>
          <t/>
        </is>
      </c>
      <c r="D1973" s="6" t="inlineStr">
        <is>
          <t/>
        </is>
      </c>
      <c r="E1973" s="6" t="inlineStr">
        <is>
          <t/>
        </is>
      </c>
      <c r="F1973" s="6" t="inlineStr">
        <is>
          <t/>
        </is>
      </c>
      <c r="G1973" s="6" t="inlineStr">
        <is>
          <t/>
        </is>
      </c>
    </row>
    <row r="1974">
      <c r="A1974" s="3" t="inlineStr">
        <is>
          <t>MZ 4</t>
        </is>
      </c>
      <c r="B1974" s="2" t="inlineStr">
        <is>
          <t>Home MZ 4 prémium mérőzsinór, professzionális, kombinált tapintócsúcs precíziós rugós érintkezővel, 1000VCATIII/600VCATIV, 10 A max. terhelhetőség</t>
        </is>
      </c>
      <c r="C1974" s="1" t="n">
        <v>4190.0</v>
      </c>
      <c r="D1974" s="7" t="n">
        <f>HYPERLINK("https://www.somogyi.hu/product/home-mz-4-premium-merozsinor-professzionalis-kombinalt-tapintocsucs-precizios-rugos-erintkezovel-1000vcatiii-600vcativ-10-a-max-terhelhetoseg-mz-4-16373","https://www.somogyi.hu/product/home-mz-4-premium-merozsinor-professzionalis-kombinalt-tapintocsucs-precizios-rugos-erintkezovel-1000vcatiii-600vcativ-10-a-max-terhelhetoseg-mz-4-16373")</f>
        <v>0.0</v>
      </c>
      <c r="E1974" s="7" t="n">
        <f>HYPERLINK("https://www.somogyi.hu/data/img/product_main_images/small/16373.jpg","https://www.somogyi.hu/data/img/product_main_images/small/16373.jpg")</f>
        <v>0.0</v>
      </c>
      <c r="F1974" s="2" t="inlineStr">
        <is>
          <t>5999084944056</t>
        </is>
      </c>
      <c r="G1974" s="4" t="inlineStr">
        <is>
          <t>Van olyan mérőzsinór, amely megbízhatóságával és precizitásával kiemelkedik a többi közül? A Home MZ 4 prémium mérőzsinór pontosan ilyen: professzionális minőségű eszköz, amelyet kifejezetten a legmagasabb igények kielégítésére terveztek.
Ez a mérőzsinór kombinált tapintócsúccsal és precíziós rugós érintkezővel rendelkezik, amelyek garantálják a pontos és megbízható kapcsolatot minden mérés során. A banándugókban található, belül is szigetelt végű kontaktusok tovább növelik a biztonságot és a használati kényelmet. Az eltávolítható szigetelő kupakok lehetővé teszik a mérőzsinór testreszabását és adaptálását a különböző mérési körülményekhez.
A 2 mm átmérőjű mérőfejek és a ~135 cm hosszúságú, 18AWG vezeték ideális kombinációt nyújtanak a hozzáférhetőség és a rugalmasság terén, miközben a 1000V CAT III és 600V CAT IV besorolás, valamint a 10 A maximális terhelhetőség biztosítja a készülék alkalmazhatóságát széles körű elektromos méréseknél.
Válassza a Home MZ 4 prémium mérőzsinórt, hogy minden elektromos mérését a lehető legnagyobb pontossággal és biztonsággal végezhesse el.</t>
        </is>
      </c>
    </row>
    <row r="1975">
      <c r="A1975" s="3" t="inlineStr">
        <is>
          <t>MVT 808ACE</t>
        </is>
      </c>
      <c r="B1975" s="2" t="inlineStr">
        <is>
          <t>Home MVT 808ACE kétpólusú AC/DC feszültségvizsgáló, 6-400 V egyen- és váltakozó feszültséghez, 10 LED visszajelző, robusztus ház és vezeték</t>
        </is>
      </c>
      <c r="C1975" s="1" t="n">
        <v>8390.0</v>
      </c>
      <c r="D1975" s="7" t="n">
        <f>HYPERLINK("https://www.somogyi.hu/product/home-mvt-808ace-ketpolusu-ac-dc-feszultsegvizsgalo-6-400-v-egyen-es-valtakozo-feszultseghez-10-led-visszajelzo-robusztus-haz-es-vezetek-mvt-808ace-9382","https://www.somogyi.hu/product/home-mvt-808ace-ketpolusu-ac-dc-feszultsegvizsgalo-6-400-v-egyen-es-valtakozo-feszultseghez-10-led-visszajelzo-robusztus-haz-es-vezetek-mvt-808ace-9382")</f>
        <v>0.0</v>
      </c>
      <c r="E1975" s="7" t="n">
        <f>HYPERLINK("https://www.somogyi.hu/data/img/product_main_images/small/09382.jpg","https://www.somogyi.hu/data/img/product_main_images/small/09382.jpg")</f>
        <v>0.0</v>
      </c>
      <c r="F1975" s="2" t="inlineStr">
        <is>
          <t>5998312781814</t>
        </is>
      </c>
      <c r="G1975" s="4" t="inlineStr">
        <is>
          <t>Hogyan ellenőrizheti biztonságosan és hatékonyan az AC és DC feszültségeket otthonában vagy munkahelyén? A Home MVT 808ACE kétpólusú AC/DC feszültségvizsgáló a tökéletes eszköz minden elektromos ellenőrzési feladathoz, 6-400 V egyen- és váltakozó feszültség tartományban.
Ez a készülék kiemelkedik a 10 LED-es visszajelzőjével, amely pontos és azonnali visszajelzést nyújt a feszültség jelenlétéről és nagyságáról, így még a kevésbé tapasztalt felhasználók számára is könnyen értelmezhető. A robusztus ház és vezeték biztosítja a hosszú távú megbízhatóságot és tartósságot, még a legkeményebb munkakörülmények között is.
A készülékben található kapcsoló lehetővé teszi a 24 V alatti mérések egyszerűsített elvégzését, ami különösen hasznos kisebb feszültségű rendszerek, például alacsony feszültségű világítási rendszerek vagy elektronikai berendezések ellenőrzésekor. Az összekötő kábel 0,6 méter hosszúsága elegendő rugalmasságot biztosít a mérési pontok közötti kényelmes mozgáshoz, míg a készülékház 220 mm-es hossza ergonomikus fogást és használatot tesz lehetővé.
Váljon a Home MVT 808ACE kétpólusú AC/DC feszültségvizsgálóval az elektromos ellenőrzések mesterevé. Ez az eszköz nem csupán növeli a biztonságot, de a precíz és gyors mérési eredményekkel időt és energiát is megtakarít Önnek!</t>
        </is>
      </c>
    </row>
    <row r="1976">
      <c r="A1976" s="3" t="inlineStr">
        <is>
          <t>MZ SMART</t>
        </is>
      </c>
      <c r="B1976" s="2" t="inlineStr">
        <is>
          <t>Home MZ SMART mérőzsinór, SMA SMART multiméter, 600 V CAT II / CAT III, max. 10 A , ~90 cm</t>
        </is>
      </c>
      <c r="C1976" s="1" t="n">
        <v>1090.0</v>
      </c>
      <c r="D1976" s="7" t="n">
        <f>HYPERLINK("https://www.somogyi.hu/product/home-mz-smart-merozsinor-sma-smart-multimeter-600-v-cat-ii-cat-iii-max-10-a-90-cm-mz-smart-18309","https://www.somogyi.hu/product/home-mz-smart-merozsinor-sma-smart-multimeter-600-v-cat-ii-cat-iii-max-10-a-90-cm-mz-smart-18309")</f>
        <v>0.0</v>
      </c>
      <c r="E1976" s="7" t="n">
        <f>HYPERLINK("https://www.somogyi.hu/data/img/product_main_images/small/18309.jpg","https://www.somogyi.hu/data/img/product_main_images/small/18309.jpg")</f>
        <v>0.0</v>
      </c>
      <c r="F1976" s="2" t="inlineStr">
        <is>
          <t>5999084963316</t>
        </is>
      </c>
      <c r="G1976" s="4" t="inlineStr">
        <is>
          <t>Ön is tudja, hogy a pontos és biztonságos mérések elengedhetetlenek minden elektromos munkához. A Home MZ SMART mérőzsinór tökéletes kiegészítője lehet a SMA SMART 2 multiméterének.
A mérőzsinór kombinált tapintócsúcsai kivételes rugalmasságot biztosítanak a mérési feladatok során. Az eltávolítható szigetelő kupakoknak köszönhetően könnyedén alkalmazkodik a különböző mérési környezetekhez és szükségletekhez. A zsinór 600V CAT II és 600V CAT III besorolású, így kiválóan használható mind otthoni, mind ipari környezetben.
A 10A maximális terhelhetőség biztosítja, hogy a mérőzsinór megbízhatóan teljesíti feladatát még a legnehezebb körülmények között is. A mintegy 90 cm hosszúságú zsinór elegendő mozgásteret biztosít a munkavégzéshez, miközben megőrzi a kompaktságát és könnyű hordozhatóságát.
Válassza a Home MZ SMART mérőzsinórt, amikor precizitásra és megbízhatóságra van szüksége elektromos munkái során. Ez a kiváló minőségű kiegészítő garantálja a biztonságot és a pontosságot minden méréskor. Rendelje meg most, és élvezze a zökkenőmentes és pontos munkavégzést!</t>
        </is>
      </c>
    </row>
    <row r="1977">
      <c r="A1977" s="3" t="inlineStr">
        <is>
          <t>MZ 3S</t>
        </is>
      </c>
      <c r="B1977" s="2" t="inlineStr">
        <is>
          <t>Home MZ 3S mérőzsinór szilikon szigeteléssel, hajlékony, lágy, tartós, ~145 mm markolat, 1000VCATII/1000VCATIII/ 600VCATIV, 10 A max. Terhelhetőség</t>
        </is>
      </c>
      <c r="C1977" s="1" t="n">
        <v>2390.0</v>
      </c>
      <c r="D1977" s="7" t="n">
        <f>HYPERLINK("https://www.somogyi.hu/product/home-mz-3s-merozsinor-szilikon-szigetelessel-hajlekony-lagy-tartos-145-mm-markolat-1000vcatii-1000vcatiii-600vcativ-10-a-max-terhelhetoseg-mz-3s-17031","https://www.somogyi.hu/product/home-mz-3s-merozsinor-szilikon-szigetelessel-hajlekony-lagy-tartos-145-mm-markolat-1000vcatii-1000vcatiii-600vcativ-10-a-max-terhelhetoseg-mz-3s-17031")</f>
        <v>0.0</v>
      </c>
      <c r="E1977" s="7" t="n">
        <f>HYPERLINK("https://www.somogyi.hu/data/img/product_main_images/small/17031.jpg","https://www.somogyi.hu/data/img/product_main_images/small/17031.jpg")</f>
        <v>0.0</v>
      </c>
      <c r="F1977" s="2" t="inlineStr">
        <is>
          <t>5999084950637</t>
        </is>
      </c>
      <c r="G1977" s="4" t="inlineStr">
        <is>
          <t xml:space="preserve"> • max. áram: 10 A 
 • mérési kategória: 1000 V CAT II / 1000 V CAT III / 600 V CAT IV 
 • méret: kb.120 cm hosszú 20AWG vezeték 
 • egyéb információ: • hajlékony, lágy, tartós, kényelmesen használható 
 • • kombinált tapintócsúcsok eltávolítható szigetelő kupakokkal</t>
        </is>
      </c>
    </row>
    <row r="1978">
      <c r="A1978" s="3" t="inlineStr">
        <is>
          <t>MZ 2M</t>
        </is>
      </c>
      <c r="B1978" s="2" t="inlineStr">
        <is>
          <t>Home MZ 2M mérőzsinór PVC szigeteléssel, kombinált tapintócsúcsok, ~120 mm markolat, 600VCATII/600VCATIII, 10 A max. Terhelhetőség</t>
        </is>
      </c>
      <c r="C1978" s="1" t="n">
        <v>1490.0</v>
      </c>
      <c r="D1978" s="7" t="n">
        <f>HYPERLINK("https://www.somogyi.hu/product/home-mz-2m-merozsinor-pvc-szigetelessel-kombinalt-tapintocsucsok-120-mm-markolat-600vcatii-600vcatiii-10-a-max-terhelhetoseg-mz-2m-17030","https://www.somogyi.hu/product/home-mz-2m-merozsinor-pvc-szigetelessel-kombinalt-tapintocsucsok-120-mm-markolat-600vcatii-600vcatiii-10-a-max-terhelhetoseg-mz-2m-17030")</f>
        <v>0.0</v>
      </c>
      <c r="E1978" s="7" t="n">
        <f>HYPERLINK("https://www.somogyi.hu/data/img/product_main_images/small/17030.jpg","https://www.somogyi.hu/data/img/product_main_images/small/17030.jpg")</f>
        <v>0.0</v>
      </c>
      <c r="F1978" s="2" t="inlineStr">
        <is>
          <t>5999084950620</t>
        </is>
      </c>
      <c r="G1978" s="4" t="inlineStr">
        <is>
          <t xml:space="preserve"> • max. áram: 10 A 
 • mérési kategória: 600 V CAT II / 600 V CAT III 
 • méret: kb.90 cm hosszú 22AWG vezeték 
 • egyéb információ: • kombinált tapintócsúcsok 
 • • eltávolítható szigetelő kupakokkal</t>
        </is>
      </c>
    </row>
    <row r="1979">
      <c r="A1979" s="6" t="inlineStr">
        <is>
          <t xml:space="preserve">   Mérés, szerszám, forrasztás / Multi teszter, fáziskereső</t>
        </is>
      </c>
      <c r="B1979" s="6" t="inlineStr">
        <is>
          <t/>
        </is>
      </c>
      <c r="C1979" s="6" t="inlineStr">
        <is>
          <t/>
        </is>
      </c>
      <c r="D1979" s="6" t="inlineStr">
        <is>
          <t/>
        </is>
      </c>
      <c r="E1979" s="6" t="inlineStr">
        <is>
          <t/>
        </is>
      </c>
      <c r="F1979" s="6" t="inlineStr">
        <is>
          <t/>
        </is>
      </c>
      <c r="G1979" s="6" t="inlineStr">
        <is>
          <t/>
        </is>
      </c>
    </row>
    <row r="1980">
      <c r="A1980" s="3" t="inlineStr">
        <is>
          <t>FC 10</t>
        </is>
      </c>
      <c r="B1980" s="2" t="inlineStr">
        <is>
          <t>Home FC 10 fázisceruza, 14 cm, 200-250 V~,  fáziskeresés fémes kapcsolattal, fényjelzés fázistalálat esetén</t>
        </is>
      </c>
      <c r="C1980" s="1" t="n">
        <v>619.0</v>
      </c>
      <c r="D1980" s="7" t="n">
        <f>HYPERLINK("https://www.somogyi.hu/product/home-fc-10-fazisceruza-14-cm-200-250-v-faziskereses-femes-kapcsolattal-fenyjelzes-fazistalalat-eseten-fc-10-8676","https://www.somogyi.hu/product/home-fc-10-fazisceruza-14-cm-200-250-v-faziskereses-femes-kapcsolattal-fenyjelzes-fazistalalat-eseten-fc-10-8676")</f>
        <v>0.0</v>
      </c>
      <c r="E1980" s="7" t="n">
        <f>HYPERLINK("https://www.somogyi.hu/data/img/product_main_images/small/08676.jpg","https://www.somogyi.hu/data/img/product_main_images/small/08676.jpg")</f>
        <v>0.0</v>
      </c>
      <c r="F1980" s="2" t="inlineStr">
        <is>
          <t>5998312775684</t>
        </is>
      </c>
      <c r="G1980" s="4" t="inlineStr">
        <is>
          <t>Szüksége van egy megbízható eszközre, amely gyorsan és biztonságosan megmutatja, hol van áram a ház körül? A Home FC 10 fázisceruza a tökéletes választás mindenki számára, aki elektromos munkákat végez, legyen az profi vagy otthoni felhasználó. 
Kifejezetten a 200-250 V~ feszültség tartományban való fáziskeresésre tervezték, ez az eszköz fémes kapcsolattal azonnal felismeri az aktív vezetékeket.
Amikor a fázisceruza érzékeli a fázist, fényjelzéssel hívja fel a figyelmet a találatra, így azonnal tudhatja, hol van szükség óvatosságra. Ez a funkció különösen hasznos sötétebb környezetben vagy nehezen hozzáférhető helyeken végzett munkák esetén, ahol a vizuális visszajelzés nagymértékben megkönnyítheti a feladatot.
A Home FC 10 fázisceruza 140 mm-es teljes hosszával és praktikus akasztófüllel rendelkezik, ami lehetővé teszi, hogy könnyedén magánál tartsa vagy tárolja, amikor éppen nem használja. A kompakt méret és a könnyű hordozhatóság biztosítja, hogy mindig kéznél legyen, amikor szükség van rá.
Ne kockáztasson, amikor elektromos munkákról van szó. Válassza a Home FC 10 fázisceruzát a biztonságos és hatékony fáziskeresés érdekében.</t>
        </is>
      </c>
    </row>
    <row r="1981">
      <c r="A1981" s="3" t="inlineStr">
        <is>
          <t>VD 22</t>
        </is>
      </c>
      <c r="B1981" s="2" t="inlineStr">
        <is>
          <t>Home VD 22 érintés nélküli feszültségvizsgáló, váltakozó feszültség jelenlétének ellenőrzése, 90-1000 V~, ideális hibakereséskor</t>
        </is>
      </c>
      <c r="C1981" s="1" t="n">
        <v>1890.0</v>
      </c>
      <c r="D1981" s="7" t="n">
        <f>HYPERLINK("https://www.somogyi.hu/product/home-vd-22-erintes-nelkuli-feszultsegvizsgalo-valtakozo-feszultseg-jelenletenek-ellenorzese-90-1000-v-idealis-hibakereseskor-vd-22-14616","https://www.somogyi.hu/product/home-vd-22-erintes-nelkuli-feszultsegvizsgalo-valtakozo-feszultseg-jelenletenek-ellenorzese-90-1000-v-idealis-hibakereseskor-vd-22-14616")</f>
        <v>0.0</v>
      </c>
      <c r="E1981" s="7" t="n">
        <f>HYPERLINK("https://www.somogyi.hu/data/img/product_main_images/small/14616.jpg","https://www.somogyi.hu/data/img/product_main_images/small/14616.jpg")</f>
        <v>0.0</v>
      </c>
      <c r="F1981" s="2" t="inlineStr">
        <is>
          <t>5999084926588</t>
        </is>
      </c>
      <c r="G1981" s="4" t="inlineStr">
        <is>
          <t>Szeretne egy megbízható eszközt, amely biztonságosan érzékeli a váltakozó feszültséget anélkül, hogy közvetlenül érintkezne a vezetékekkel? A Home VD 22 érintés nélküli feszültségvizsgálóval pontosan ezt kapja. 
Ez az innovatív eszköz forradalmasítja a hibakeresési folyamatokat, lehetővé téve a váltakozó feszültség gyors és biztonságos ellenőrzését érintés nélkül, 90-1000 V~ tartományban.
Ideális választás mindenféle elektromos hibakeresési feladathoz, legyen szó hosszabbítókról, elosztókról, fali csatlakozóaljzatokról, izzósorokról, lámpákról, vagy akár a készüléken és kapcsolószekrényen belüli kábelekről. Amint a készülék érzékeli a váltakozó feszültség jelenlétét, azonnal figyelmeztet a felhasználót szaggatott hangjelzéssel és villogó piros fény jelzéssel, így biztosítva az elektromos rendszerek biztonságos vizsgálatát.
A beépített LED lámpa külön kapcsolható funkciója extra kényelmet biztosít sötét vagy rosszul megvilágított helyeken végzett munkák során. A hosszú elemélettartam – körülbelül 1,5 év készenléti idő és 6 óra folyamatos használat – gondoskodik arról, hogy a Home VD 22 mindig készen álljon, amikor szükség van rá. A tápellátás 2 x 1,5 V (AAA) elemmel történik, amely nem tartozék a csomaghoz, így külön kell beszerezni őket.
Ne kockáztassa a biztonságát és ne pazarolja az idejét találgatásokkal; a Home VD 22 érintés nélküli feszültségvizsgálóval gyorsan, biztonságosan és hatékonyan végezheti el az elektromos ellenőrzéseket.</t>
        </is>
      </c>
    </row>
    <row r="1982">
      <c r="A1982" s="3" t="inlineStr">
        <is>
          <t>VD 44</t>
        </is>
      </c>
      <c r="B1982" s="2" t="inlineStr">
        <is>
          <t>Home VD 44 érintés nélküli feszültségvizsgáló, ~12/48-1000V AC, három fokozatú jelnagyság jelzés, átkapcsolható érzékenység</t>
        </is>
      </c>
      <c r="C1982" s="1" t="n">
        <v>3790.0</v>
      </c>
      <c r="D1982" s="7" t="n">
        <f>HYPERLINK("https://www.somogyi.hu/product/home-vd-44-erintes-nelkuli-feszultsegvizsgalo-12-48-1000v-ac-harom-fokozatu-jelnagysag-jelzes-atkapcsolhato-erzekenyseg-vd-44-18184","https://www.somogyi.hu/product/home-vd-44-erintes-nelkuli-feszultsegvizsgalo-12-48-1000v-ac-harom-fokozatu-jelnagysag-jelzes-atkapcsolhato-erzekenyseg-vd-44-18184")</f>
        <v>0.0</v>
      </c>
      <c r="E1982" s="7" t="n">
        <f>HYPERLINK("https://www.somogyi.hu/data/img/product_main_images/small/18184.jpg","https://www.somogyi.hu/data/img/product_main_images/small/18184.jpg")</f>
        <v>0.0</v>
      </c>
      <c r="F1982" s="2" t="inlineStr">
        <is>
          <t>5999084962067</t>
        </is>
      </c>
      <c r="G1982" s="4" t="inlineStr">
        <is>
          <t xml:space="preserve"> • vizsgálható jellemző: váltakozó feszültség 
 • érintés nélküli keresés: igen (~12/48-1000V AC) 
 • hangjelzés: igen 
 • fényjelzés: igen (piros fénnyel) 
 • LED lámpa: igen 
 • jellemzők: három fokozatú jelnagyság jelzés • átkapcsolható érzékenység • automatikus kikapcsolás 
 • egyéb funkciók: elemlámpa funkció 
 • tápellátás: 2 x 1,5 V (AAA) elem, nem tartozék 
 • méret: 158 x 20 x 20 mm</t>
        </is>
      </c>
    </row>
    <row r="1983">
      <c r="A1983" s="3" t="inlineStr">
        <is>
          <t>FC 20</t>
        </is>
      </c>
      <c r="B1983" s="2" t="inlineStr">
        <is>
          <t>Home FC 20 fázisceruza, 19 cm, 200-250 V~,  fáziskeresés fémes kapcsolattal, fényjelzés fázistalálat esetén</t>
        </is>
      </c>
      <c r="C1983" s="1" t="n">
        <v>879.0</v>
      </c>
      <c r="D1983" s="7" t="n">
        <f>HYPERLINK("https://www.somogyi.hu/product/home-fc-20-fazisceruza-19-cm-200-250-v-faziskereses-femes-kapcsolattal-fenyjelzes-fazistalalat-eseten-fc-20-8677","https://www.somogyi.hu/product/home-fc-20-fazisceruza-19-cm-200-250-v-faziskereses-femes-kapcsolattal-fenyjelzes-fazistalalat-eseten-fc-20-8677")</f>
        <v>0.0</v>
      </c>
      <c r="E1983" s="7" t="n">
        <f>HYPERLINK("https://www.somogyi.hu/data/img/product_main_images/small/08677.jpg","https://www.somogyi.hu/data/img/product_main_images/small/08677.jpg")</f>
        <v>0.0</v>
      </c>
      <c r="F1983" s="2" t="inlineStr">
        <is>
          <t>5998312775691</t>
        </is>
      </c>
      <c r="G1983" s="4" t="inlineStr">
        <is>
          <t>Van már olyan eszköze, amely biztonságosan és hatékonyan segít az elektromos vezetékek fázisának azonosításában? A Home FC 20 fázisceruza pontosan ezt a célt szolgálja, ideális választás mindazok számára, akik elektromos munkákat végeznek otthonukban vagy munkahelyükön. 
Ez a kiváló minőségű eszköz a 200-250 V~ feszültségtartományban képes azonnali fáziskeresésre fémes kapcsolattal. Amikor a fázisceruza érintkezik az aktív vezetékkel, fényjelzés jelzi a fázistalálatot, ezzel növelve a munkavégzés biztonságát és hatékonyságát. Ez a funkció különösen hasznos olyan helyzetekben, ahol fontos a gyors és egyértelmű visszajelzés.
A Home FC 20 fázisceruza hossza 190 mm, ami nagyobb hosszúságú, mint a szabvány modelljei, így még több felhasználási lehetőséget biztosít, beleértve a nehezebben elérhető helyeket is. Az ergonomikus kialakítás és a könnyű súly garantálja, hogy a használata kényelmes és egyszerű, még hosszabb ideig tartó munkavégzés során is.
Ne bízza a véletlenre az elektromos biztonságot! Bízza a Home FC 20 fázisceruzára, amely megbízhatóan jelzi az aktív vezetékeket, így biztonságos környezetet teremt minden elektromos munkához.</t>
        </is>
      </c>
    </row>
    <row r="1984">
      <c r="A1984" s="6" t="inlineStr">
        <is>
          <t xml:space="preserve">   Mérés, szerszám, forrasztás / Mérőszalag</t>
        </is>
      </c>
      <c r="B1984" s="6" t="inlineStr">
        <is>
          <t/>
        </is>
      </c>
      <c r="C1984" s="6" t="inlineStr">
        <is>
          <t/>
        </is>
      </c>
      <c r="D1984" s="6" t="inlineStr">
        <is>
          <t/>
        </is>
      </c>
      <c r="E1984" s="6" t="inlineStr">
        <is>
          <t/>
        </is>
      </c>
      <c r="F1984" s="6" t="inlineStr">
        <is>
          <t/>
        </is>
      </c>
      <c r="G1984" s="6" t="inlineStr">
        <is>
          <t/>
        </is>
      </c>
    </row>
    <row r="1985">
      <c r="A1985" s="3" t="inlineStr">
        <is>
          <t>MTP 5-25</t>
        </is>
      </c>
      <c r="B1985" s="2" t="inlineStr">
        <is>
          <t>Home MTP 5-25 mérőszalag, hosszúság: 5 m, szélesség: 19 mm, gumírozott ház, blokkolás funkció, fémszalag beakasztható véggel</t>
        </is>
      </c>
      <c r="C1985" s="1" t="n">
        <v>1250.0</v>
      </c>
      <c r="D1985" s="7" t="n">
        <f>HYPERLINK("https://www.somogyi.hu/product/home-mtp-5-25-meroszalag-hosszusag-5-m-szelesseg-19-mm-gumirozott-haz-blokkolas-funkcio-femszalag-beakaszthato-veggel-mtp-5-25-5059","https://www.somogyi.hu/product/home-mtp-5-25-meroszalag-hosszusag-5-m-szelesseg-19-mm-gumirozott-haz-blokkolas-funkcio-femszalag-beakaszthato-veggel-mtp-5-25-5059")</f>
        <v>0.0</v>
      </c>
      <c r="E1985" s="7" t="n">
        <f>HYPERLINK("https://www.somogyi.hu/data/img/product_main_images/small/05059.jpg","https://www.somogyi.hu/data/img/product_main_images/small/05059.jpg")</f>
        <v>0.0</v>
      </c>
      <c r="F1985" s="2" t="inlineStr">
        <is>
          <t>5998312744512</t>
        </is>
      </c>
      <c r="G1985" s="4" t="inlineStr">
        <is>
          <t>Szüksége van egy megbízható és könnyen kezelhető mérőszalagra, amely minden mérést pontosan és gyorsan elvégez? A Home MTP 5-25 mérőszalag a tökéletes választás az Ön számára. 
Ez az 5 méter hosszú és 19 mm széles mérőszalag mind méter, mind láb beosztással rendelkezik, így kiválóan alkalmazható a különböző mérési igényekhez mind otthoni, mind szakmai felhasználásra. A gumírozott ház nem csak tartós védelmet biztosít a mérőszalag számára, hanem megakadályozza a csúszást a kézből, így biztosítva a stabil és biztonságos használatot. A blokkolás funkció lehetővé teszi, hogy a kiválasztott hosszt rögzítse, ezzel megkönnyítve a munkát és növelve a mérési pontosságot.
A mérőszalag végén található fémszalag és a beakasztható vég garantálja a könnyű használatot és a stabilitást méréskor, így nem kell attól tartania, hogy a szalag elmozdul vagy megcsúszik az alapfelületről. Ez a funkció különösen hasznos lehet nehezen hozzáférhető helyeken vagy egyedül dolgozva.
Ne hagyja, hogy az alacsony minőségű mérőeszközök akadályozzák projektjeinek sikerét! A Home MTP 5-25 mérőszalaggal minden mérési feladat egyszerűvé és pontosabbá válik.</t>
        </is>
      </c>
    </row>
    <row r="1986">
      <c r="A1986" s="6" t="inlineStr">
        <is>
          <t xml:space="preserve">   Mérés, szerszám, forrasztás / Banáncsatlakozó</t>
        </is>
      </c>
      <c r="B1986" s="6" t="inlineStr">
        <is>
          <t/>
        </is>
      </c>
      <c r="C1986" s="6" t="inlineStr">
        <is>
          <t/>
        </is>
      </c>
      <c r="D1986" s="6" t="inlineStr">
        <is>
          <t/>
        </is>
      </c>
      <c r="E1986" s="6" t="inlineStr">
        <is>
          <t/>
        </is>
      </c>
      <c r="F1986" s="6" t="inlineStr">
        <is>
          <t/>
        </is>
      </c>
      <c r="G1986" s="6" t="inlineStr">
        <is>
          <t/>
        </is>
      </c>
    </row>
    <row r="1987">
      <c r="A1987" s="3" t="inlineStr">
        <is>
          <t>BD 4/BK</t>
        </is>
      </c>
      <c r="B1987" s="2" t="inlineStr">
        <is>
          <t>Home BD 4/BK banándugó, fekete, műanyag, keresztlyukas, csavarozható</t>
        </is>
      </c>
      <c r="C1987" s="1" t="n">
        <v>259.0</v>
      </c>
      <c r="D1987" s="7" t="n">
        <f>HYPERLINK("https://www.somogyi.hu/product/home-bd-4-bk-banandugo-fekete-muanyag-keresztlyukas-csavarozhato-bd-4-bk-4277","https://www.somogyi.hu/product/home-bd-4-bk-banandugo-fekete-muanyag-keresztlyukas-csavarozhato-bd-4-bk-4277")</f>
        <v>0.0</v>
      </c>
      <c r="E1987" s="7" t="n">
        <f>HYPERLINK("https://www.somogyi.hu/data/img/product_main_images/small/04277.jpg","https://www.somogyi.hu/data/img/product_main_images/small/04277.jpg")</f>
        <v>0.0</v>
      </c>
      <c r="F1987" s="2" t="inlineStr">
        <is>
          <t>5998312709023</t>
        </is>
      </c>
      <c r="G1987" s="4" t="inlineStr">
        <is>
          <t>Az elektromos műszerekhez csakis a legmegbízhatóbb kialakítással rendelkező kellékeket vegye meg!
A BD 4/BK egy fekete színű műanyag banándugó. A termék csavarozható, illetve keresztlyukkal van ellátva. Válassza a minőségi termékeket és rendeljen webáruházunkból.</t>
        </is>
      </c>
    </row>
    <row r="1988">
      <c r="A1988" s="3" t="inlineStr">
        <is>
          <t>BA 2/BK</t>
        </is>
      </c>
      <c r="B1988" s="2" t="inlineStr">
        <is>
          <t>Home BA 2/BK banánaljzat, fekete, műanyag, szigetelt, forrasztható</t>
        </is>
      </c>
      <c r="C1988" s="1" t="n">
        <v>219.0</v>
      </c>
      <c r="D1988" s="7" t="n">
        <f>HYPERLINK("https://www.somogyi.hu/product/home-ba-2-bk-bananaljzat-fekete-muanyag-szigetelt-forraszthato-ba-2-bk-2074","https://www.somogyi.hu/product/home-ba-2-bk-bananaljzat-fekete-muanyag-szigetelt-forraszthato-ba-2-bk-2074")</f>
        <v>0.0</v>
      </c>
      <c r="E1988" s="7" t="n">
        <f>HYPERLINK("https://www.somogyi.hu/data/img/product_main_images/small/02074.jpg","https://www.somogyi.hu/data/img/product_main_images/small/02074.jpg")</f>
        <v>0.0</v>
      </c>
      <c r="F1988" s="2" t="inlineStr">
        <is>
          <t>5998312723074</t>
        </is>
      </c>
      <c r="G1988" s="4" t="inlineStr">
        <is>
          <t>Az elektromos műszerekhez csakis a legmegbízhatóbb kialakítással rendelkező kellékeket vegye meg!
A BA 2/BK egy fekete színű műanyag banánaljzat. A termék szigetelt, illetve forrasztható kivitelben készült. Válassza a minőségi termékeket és rendeljen webáruházunkból.</t>
        </is>
      </c>
    </row>
    <row r="1989">
      <c r="A1989" s="3" t="inlineStr">
        <is>
          <t>BA 2/RD</t>
        </is>
      </c>
      <c r="B1989" s="2" t="inlineStr">
        <is>
          <t>Home BA 2/RD banánaljzat, piros, műanyag, szigetelt, forrasztható</t>
        </is>
      </c>
      <c r="C1989" s="1" t="n">
        <v>219.0</v>
      </c>
      <c r="D1989" s="7" t="n">
        <f>HYPERLINK("https://www.somogyi.hu/product/home-ba-2-rd-bananaljzat-piros-muanyag-szigetelt-forraszthato-ba-2-rd-2073","https://www.somogyi.hu/product/home-ba-2-rd-bananaljzat-piros-muanyag-szigetelt-forraszthato-ba-2-rd-2073")</f>
        <v>0.0</v>
      </c>
      <c r="E1989" s="7" t="n">
        <f>HYPERLINK("https://www.somogyi.hu/data/img/product_main_images/small/02073.jpg","https://www.somogyi.hu/data/img/product_main_images/small/02073.jpg")</f>
        <v>0.0</v>
      </c>
      <c r="F1989" s="2" t="inlineStr">
        <is>
          <t>5998312723067</t>
        </is>
      </c>
      <c r="G1989" s="4" t="inlineStr">
        <is>
          <t>Az elektromos műszerekhez csakis a legmegbízhatóbb kialakítással rendelkező kellékeket vegye meg!
A BA 2/RD egy píros színű műanyag banánaljzat. A termék szigetelt, illetve forrasztható kivitelben készült. Válassza a minőségi termékeket és rendeljen webáruházunkból.</t>
        </is>
      </c>
    </row>
    <row r="1990">
      <c r="A1990" s="3" t="inlineStr">
        <is>
          <t>BD 5G/RD</t>
        </is>
      </c>
      <c r="B1990" s="2" t="inlineStr">
        <is>
          <t>Home BD 5G/RD banándugó, piros, műanyag, keresztlyukas, csavarozható, aranyozott</t>
        </is>
      </c>
      <c r="C1990" s="1" t="n">
        <v>479.0</v>
      </c>
      <c r="D1990" s="7" t="n">
        <f>HYPERLINK("https://www.somogyi.hu/product/home-bd-5g-rd-banandugo-piros-muanyag-keresztlyukas-csavarozhato-aranyozott-bd-5g-rd-4767","https://www.somogyi.hu/product/home-bd-5g-rd-banandugo-piros-muanyag-keresztlyukas-csavarozhato-aranyozott-bd-5g-rd-4767")</f>
        <v>0.0</v>
      </c>
      <c r="E1990" s="7" t="n">
        <f>HYPERLINK("https://www.somogyi.hu/data/img/product_main_images/small/04767.jpg","https://www.somogyi.hu/data/img/product_main_images/small/04767.jpg")</f>
        <v>0.0</v>
      </c>
      <c r="F1990" s="2" t="inlineStr">
        <is>
          <t>5998312742105</t>
        </is>
      </c>
      <c r="G1990" s="4" t="inlineStr">
        <is>
          <t>Az elektromos műszerekhez csakis a legmegbízhatóbb kialakítással rendelkező kellékeket vegye meg!
A BD 5G/RD egy piros színű műanyag banándugó. A termék aranyozott kivitelben készült, további előnye, hogy csavarozható, illetve, hogy keresztlyukkal van ellátva. Válassza a minőségi termékeket és rendeljen webáruházunkból.</t>
        </is>
      </c>
    </row>
    <row r="1991">
      <c r="A1991" s="3" t="inlineStr">
        <is>
          <t>BD 5G/BK</t>
        </is>
      </c>
      <c r="B1991" s="2" t="inlineStr">
        <is>
          <t>Home BD 5G/BK banándugó, fekete, műanyag, keresztlyukas, csavarozható, aranyozott</t>
        </is>
      </c>
      <c r="C1991" s="1" t="n">
        <v>479.0</v>
      </c>
      <c r="D1991" s="7" t="n">
        <f>HYPERLINK("https://www.somogyi.hu/product/home-bd-5g-bk-banandugo-fekete-muanyag-keresztlyukas-csavarozhato-aranyozott-bd-5g-bk-4766","https://www.somogyi.hu/product/home-bd-5g-bk-banandugo-fekete-muanyag-keresztlyukas-csavarozhato-aranyozott-bd-5g-bk-4766")</f>
        <v>0.0</v>
      </c>
      <c r="E1991" s="7" t="n">
        <f>HYPERLINK("https://www.somogyi.hu/data/img/product_main_images/small/04766.jpg","https://www.somogyi.hu/data/img/product_main_images/small/04766.jpg")</f>
        <v>0.0</v>
      </c>
      <c r="F1991" s="2" t="inlineStr">
        <is>
          <t>5998312742099</t>
        </is>
      </c>
      <c r="G1991" s="4" t="inlineStr">
        <is>
          <t>Az elektromos műszerekhez csakis a legmegbízhatóbb kialakítással rendelkező kellékeket vegye meg!
A BD 5G/BK egy fekete színű műanyag banándugó. A termék aranyozott kivitelben készült, további előnye, hogy csavarozható, illetve, hogy keresztlyukkal van ellátva. Válassza a minőségi termékeket és rendeljen webáruházunkból.</t>
        </is>
      </c>
    </row>
    <row r="1992">
      <c r="A1992" s="3" t="inlineStr">
        <is>
          <t>BD 4/RD</t>
        </is>
      </c>
      <c r="B1992" s="2" t="inlineStr">
        <is>
          <t>Home BD 4/RD banándugó, piros, műanyag, keresztlyukas, csavarozható</t>
        </is>
      </c>
      <c r="C1992" s="1" t="n">
        <v>259.0</v>
      </c>
      <c r="D1992" s="7" t="n">
        <f>HYPERLINK("https://www.somogyi.hu/product/home-bd-4-rd-banandugo-piros-muanyag-keresztlyukas-csavarozhato-bd-4-rd-4278","https://www.somogyi.hu/product/home-bd-4-rd-banandugo-piros-muanyag-keresztlyukas-csavarozhato-bd-4-rd-4278")</f>
        <v>0.0</v>
      </c>
      <c r="E1992" s="7" t="n">
        <f>HYPERLINK("https://www.somogyi.hu/data/img/product_main_images/small/04278.jpg","https://www.somogyi.hu/data/img/product_main_images/small/04278.jpg")</f>
        <v>0.0</v>
      </c>
      <c r="F1992" s="2" t="inlineStr">
        <is>
          <t>5998312709030</t>
        </is>
      </c>
      <c r="G1992" s="4" t="inlineStr">
        <is>
          <t>Az elektromos műszerekhez csakis a legmegbízhatóbb kialakítással rendelkező kellékeket vegye meg!
A BD 4/RD egy piros színű műanyag banándugó. A termék csavarozható, illetve keresztlyukkal van ellátva. Válassza a minőségi termékeket és rendeljen webáruházunkból.</t>
        </is>
      </c>
    </row>
    <row r="1993">
      <c r="A1993" s="6" t="inlineStr">
        <is>
          <t xml:space="preserve">   Mérés, szerszám, forrasztás / Forrasztópáka-állomás, tartozék</t>
        </is>
      </c>
      <c r="B1993" s="6" t="inlineStr">
        <is>
          <t/>
        </is>
      </c>
      <c r="C1993" s="6" t="inlineStr">
        <is>
          <t/>
        </is>
      </c>
      <c r="D1993" s="6" t="inlineStr">
        <is>
          <t/>
        </is>
      </c>
      <c r="E1993" s="6" t="inlineStr">
        <is>
          <t/>
        </is>
      </c>
      <c r="F1993" s="6" t="inlineStr">
        <is>
          <t/>
        </is>
      </c>
      <c r="G1993" s="6" t="inlineStr">
        <is>
          <t/>
        </is>
      </c>
    </row>
    <row r="1994">
      <c r="A1994" s="3" t="inlineStr">
        <is>
          <t>SMA 057</t>
        </is>
      </c>
      <c r="B1994" s="2" t="inlineStr">
        <is>
          <t>Home SMA 057 forrasztóhegy SMA 051 és SMA 050 forrasztópáka-állomásokhoz, 3,2 mm, lapos fej</t>
        </is>
      </c>
      <c r="C1994" s="1" t="n">
        <v>749.0</v>
      </c>
      <c r="D1994" s="7" t="n">
        <f>HYPERLINK("https://www.somogyi.hu/product/home-sma-057-forrasztohegy-sma-051-es-sma-050-forrasztopaka-allomasokhoz-3-2-mm-lapos-fej-sma-057-6826","https://www.somogyi.hu/product/home-sma-057-forrasztohegy-sma-051-es-sma-050-forrasztopaka-allomasokhoz-3-2-mm-lapos-fej-sma-057-6826")</f>
        <v>0.0</v>
      </c>
      <c r="E1994" s="7" t="n">
        <f>HYPERLINK("https://www.somogyi.hu/data/img/product_main_images/small/06826.jpg","https://www.somogyi.hu/data/img/product_main_images/small/06826.jpg")</f>
        <v>0.0</v>
      </c>
      <c r="F1994" s="2" t="inlineStr">
        <is>
          <t>5998312758441</t>
        </is>
      </c>
      <c r="G1994" s="4" t="inlineStr">
        <is>
          <t>Van már ideális forrasztóhegye az SMA 051 és SMA 050 forrasztópáka-állomásaihoz szélesebb forrasztási felületekhez? A Home SMA 057 forrasztóhegy pontosan ezt a célt szolgálja, 3,2 mm-es lapos fejével tökéletesen alkalmas nagyobb alkatrészek forrasztására és ahol szélesebb forrasztási felületre van szükség.
Ez a különleges forrasztóhegy kifejezetten az SMA 051 és SMA 050 modellekhez lett tervezve, így garantálva a tökéletes illeszkedést és optimális hőátvitelt. A 3,2 mm-es lapos fej ideális választás azokhoz a forrasztási munkákhoz, ahol a hőnek egyenletesen kell eloszlania egy nagyobb területen, lehetővé téve így a sima és egyenletes forrasztási eredményeket.
A forrasztóhegy könnyen cserélhető, ami lehetővé teszi a felhasználó számára, hogy gyorsan és egyszerűen alkalmazkodjon a különböző forrasztási feladatokhoz. Az SMA 057 forrasztóhegy minőségi anyagból készült, biztosítva a hosszú élettartamot és a megbízható működést minden használat során.
Fedezze fel a Home SMA 057 forrasztóhegy által nyújtott új lehetőségeket, és élvezze a precíz, egyenletes forrasztási eredményeket minden projektjében.</t>
        </is>
      </c>
    </row>
    <row r="1995">
      <c r="A1995" s="3" t="inlineStr">
        <is>
          <t>SMA 051</t>
        </is>
      </c>
      <c r="B1995" s="2" t="inlineStr">
        <is>
          <t>Home SMA 051 forrasztópáka-állomás, LED kijelző, 230V~/48W, szabályozható és ellenőrizhető hőmérséklet (150 - 420 °C), hőálló szilikonkábel</t>
        </is>
      </c>
      <c r="C1995" s="1" t="n">
        <v>36890.0</v>
      </c>
      <c r="D1995" s="7" t="n">
        <f>HYPERLINK("https://www.somogyi.hu/product/home-sma-051-forrasztopaka-allomas-led-kijelzo-230v-48w-szabalyozhato-es-ellenorizheto-homerseklet-150-420-c-hoallo-szilikonkabel-sma-051-6709","https://www.somogyi.hu/product/home-sma-051-forrasztopaka-allomas-led-kijelzo-230v-48w-szabalyozhato-es-ellenorizheto-homerseklet-150-420-c-hoallo-szilikonkabel-sma-051-6709")</f>
        <v>0.0</v>
      </c>
      <c r="E1995" s="7" t="n">
        <f>HYPERLINK("https://www.somogyi.hu/data/img/product_main_images/small/06709.jpg","https://www.somogyi.hu/data/img/product_main_images/small/06709.jpg")</f>
        <v>0.0</v>
      </c>
      <c r="F1995" s="2" t="inlineStr">
        <is>
          <t>5998312757451</t>
        </is>
      </c>
      <c r="G1995" s="4" t="inlineStr">
        <is>
          <t>Készen áll a forrasztási projektek pontos hőmérséklet-szabályozására? A Home SMA 051 forrasztópáka-állomás az Ön legjobb segítője lesz, mely LED kijelzővel rendelkezik a hőmérséklet pontos beállításához és ellenőrzéséhez 150 és 420 °C között, így biztosítva a kiváló minőségű forrasztást minden egyes alkalommal.
Ez a korszerű eszköz 230V~/48W teljesítmény mellett gyors felfűtést kínál, míg a 3 számjegyű piros LED kijelző lehetővé teszi a hőmérséklet pontos és könnyen olvasható beállítását és nyomon követését a munka során. A hőálló szilikonkábel és a szilikongumi markolat nemcsak a biztonságos használatot, hanem a kényelmet is garantálja hosszú forrasztási munkák során. A cserélhető SMA 5051T páka és a szerszám nélkül cserélhető hegy rugalmasságot biztosít, míg a mellékelt tisztítószivacs és tálca, valamint az állítható pákatartó megkönnyíti a munkaterület rendben tartását.
A Home SMA 051 forrasztópáka-állomás a precízió és a kényelem tökéletes kombinációja minden forrasztási feladathoz.</t>
        </is>
      </c>
    </row>
    <row r="1996">
      <c r="A1996" s="3" t="inlineStr">
        <is>
          <t>SMA 5051T</t>
        </is>
      </c>
      <c r="B1996" s="2" t="inlineStr">
        <is>
          <t>Home SMA 5051T cserélhető páka, Home SMA 050, 051-hez</t>
        </is>
      </c>
      <c r="C1996" s="1" t="n">
        <v>4990.0</v>
      </c>
      <c r="D1996" s="7" t="n">
        <f>HYPERLINK("https://www.somogyi.hu/product/home-sma-5051t-cserelheto-paka-home-sma-050-051-hez-sma-5051t-9770","https://www.somogyi.hu/product/home-sma-5051t-cserelheto-paka-home-sma-050-051-hez-sma-5051t-9770")</f>
        <v>0.0</v>
      </c>
      <c r="E1996" s="7" t="n">
        <f>HYPERLINK("https://www.somogyi.hu/data/img/product_main_images/small/09770.jpg","https://www.somogyi.hu/data/img/product_main_images/small/09770.jpg")</f>
        <v>0.0</v>
      </c>
      <c r="F1996" s="2" t="inlineStr">
        <is>
          <t>5998312784990</t>
        </is>
      </c>
      <c r="G1996" s="4" t="inlineStr">
        <is>
          <t>Szeretné a forrasztási feladatokat még rugalmasabbá és hatékonyabbá tenni? A Home SMA 5051T cserélhető páka pontosan ezt kínálja az SMA 051 forrasztópáka-állomáshoz, lehetővé téve a gyors és egyszerű pákacsere lehetőségét a különböző projektek igényei szerint.
Ez a kiváló minőségű cserélhető páka tökéletes választás mindazok számára, akik szeretnék maximalizálni SMA 051 forrasztópáka-állomásuk teljesítményét és sokoldalúságát. A cserélhető páka lehetővé teszi, hogy gyorsan alkalmazkodjon a különféle forrasztási feladatokhoz, legyen szó akár finom elektronikai javításokról, akár nagyobb összeszerelési projektekről.
A Home SMA 5051T páka kiváló hőátadási képességgel rendelkezik, biztosítva a gyors és egyenletes felfűtést. Ez a jellemző különösen fontos a precíz és megbízható forrasztási eredmények elérése szempontjából. A könnyű cserélhetőség nemcsak időt takarít meg, hanem növeli a munkafolyamat hatékonyságát is.
Változtassa meg a forrasztási módját a Home SMA 5051T cserélhető pákával, és tapasztalja meg a rugalmasság, a precizitás és a hatékonyság új dimenzióját.</t>
        </is>
      </c>
    </row>
    <row r="1997">
      <c r="A1997" s="3" t="inlineStr">
        <is>
          <t>SMA 050</t>
        </is>
      </c>
      <c r="B1997" s="2" t="inlineStr">
        <is>
          <t>Home SMA 050 forrasztópáka-állomás, 230V~/48W, szabályozható hőmérséklet (150 - 420 °C), hőálló szilikonkábel, tisztítószivacs és tálca</t>
        </is>
      </c>
      <c r="C1997" s="1" t="n">
        <v>24390.0</v>
      </c>
      <c r="D1997" s="7" t="n">
        <f>HYPERLINK("https://www.somogyi.hu/product/home-sma-050-forrasztopaka-allomas-230v-48w-szabalyozhato-homerseklet-150-420-c-hoallo-szilikonkabel-tisztitoszivacs-es-talca-sma-050-6710","https://www.somogyi.hu/product/home-sma-050-forrasztopaka-allomas-230v-48w-szabalyozhato-homerseklet-150-420-c-hoallo-szilikonkabel-tisztitoszivacs-es-talca-sma-050-6710")</f>
        <v>0.0</v>
      </c>
      <c r="E1997" s="7" t="n">
        <f>HYPERLINK("https://www.somogyi.hu/data/img/product_main_images/small/06710.jpg","https://www.somogyi.hu/data/img/product_main_images/small/06710.jpg")</f>
        <v>0.0</v>
      </c>
      <c r="F1997" s="2" t="inlineStr">
        <is>
          <t>5998312757468</t>
        </is>
      </c>
      <c r="G1997" s="4" t="inlineStr">
        <is>
          <t>Fedezze fel a Home SMA 050 forrasztópáka-állomás nyújtotta precizitást és megbízhatóságot! 
Ez a kiváló minőségű eszköz gyors felfűtést és beállítható hőmérsékletet kínál 150 és 420 °C között, így garantálva a különböző forrasztási feladatokhoz szükséges rugalmasságot és pontos hőmérséklet-szabályozást. A forrasztópáka-állomás hőálló szilikonkábellel rendelkezik, amely ellenáll a magas hőmérsékletnek és biztosítja a hosszú távú használatot. A szilikongumi markolat nemcsak kényelmes fogást biztosít, hanem megvédi a kezét a hőtől is. A cserélhető páka az SMA 5051T, és a szerszám nélkül cserélhető hegy még több segítséget nyújt, lehetővé téve a felhasználó számára, hogy gyorsan és egyszerűen állíthassa át az eszközt a különböző projektek igényei szerint.
Minden részletre gondoltak, beleértve a tisztítószivacsot és tálcát, valamint az állítható pákatartót is, amelyek még kényelmesebbé és hatékonyabbá teszik a forrasztási munkafolyamatot.
A Home SMA 050 forrasztópáka-állomás ideális választás mindenki számára, aki precíz, megbízható és könnyen kezelhető forrasztóeszközt keres.</t>
        </is>
      </c>
    </row>
    <row r="1998">
      <c r="A1998" s="3" t="inlineStr">
        <is>
          <t>SMA 058</t>
        </is>
      </c>
      <c r="B1998" s="2" t="inlineStr">
        <is>
          <t>Home SMA 058 forrasztóhegy SMA 051 és SMA 050 forrasztópáka-állomásokhoz, 1,2 mm, lapos fej</t>
        </is>
      </c>
      <c r="C1998" s="1" t="n">
        <v>749.0</v>
      </c>
      <c r="D1998" s="7" t="n">
        <f>HYPERLINK("https://www.somogyi.hu/product/home-sma-058-forrasztohegy-sma-051-es-sma-050-forrasztopaka-allomasokhoz-1-2-mm-lapos-fej-sma-058-6827","https://www.somogyi.hu/product/home-sma-058-forrasztohegy-sma-051-es-sma-050-forrasztopaka-allomasokhoz-1-2-mm-lapos-fej-sma-058-6827")</f>
        <v>0.0</v>
      </c>
      <c r="E1998" s="7" t="n">
        <f>HYPERLINK("https://www.somogyi.hu/data/img/product_main_images/small/06827.jpg","https://www.somogyi.hu/data/img/product_main_images/small/06827.jpg")</f>
        <v>0.0</v>
      </c>
      <c r="F1998" s="2" t="inlineStr">
        <is>
          <t>5998312758458</t>
        </is>
      </c>
      <c r="G1998" s="4" t="inlineStr">
        <is>
          <t>Szeretne pontosabb és finomabb forrasztási munkát végezni SMA 051 vagy SMA 050 forrasztópáka-állomásával? A Home SMA 058 forrasztóhegy, 1,2 mm-es lapos fejével, kifejezetten azok számára készült, akik a részletesség és a precizitás fontosságát értékelik forrasztási munkáik során.
Ez a különleges forrasztóhegy tökéletesen kompatibilis az SMA 051 és SMA 050 forrasztópáka-állomásokkal, így biztosítva az eszközökkel való tökéletes összhangot és hatékonyságot. A 1,2 mm-es lapos fej kiválóan alkalmas azokra a finom forrasztási feladatokra, ahol a nagy pontosság és a kis forrasztási pontok elérése kulcsfontosságú. Legyen szó elektronikai alkatrészek javításáról vagy kisebb munkákról, ez a forrasztóhegy segít a precíz eredmények elérésében.
A Home SMA 058 forrasztóhegy kiváló minőségű anyagból készült, amely biztosítja a hosszú távú használatot és a megbízható teljesítményt minden alkalmazásban. A lapos fej kialakítása lehetővé teszi a forrasztási hő gyors és egyenletes eloszlását, így biztosítva a forrasztási felületek optimális hőkezelését.
Válassza a Home SMA 058 forrasztóhegyet, hogy SMA 051 vagy SMA 050 forrasztópáka-állomásával kifinomult és pontos forrasztási munkát végezzen.</t>
        </is>
      </c>
    </row>
    <row r="1999">
      <c r="A1999" s="3" t="inlineStr">
        <is>
          <t>SMA 059</t>
        </is>
      </c>
      <c r="B1999" s="2" t="inlineStr">
        <is>
          <t>Home SMA 059 forrasztóhegy SMA 051 és SMA 050 forrasztópáka-állomásokhoz, 1,2 mm, pont fej</t>
        </is>
      </c>
      <c r="C1999" s="1" t="n">
        <v>749.0</v>
      </c>
      <c r="D1999" s="7" t="n">
        <f>HYPERLINK("https://www.somogyi.hu/product/home-sma-059-forrasztohegy-sma-051-es-sma-050-forrasztopaka-allomasokhoz-1-2-mm-pont-fej-sma-059-6828","https://www.somogyi.hu/product/home-sma-059-forrasztohegy-sma-051-es-sma-050-forrasztopaka-allomasokhoz-1-2-mm-pont-fej-sma-059-6828")</f>
        <v>0.0</v>
      </c>
      <c r="E1999" s="7" t="n">
        <f>HYPERLINK("https://www.somogyi.hu/data/img/product_main_images/small/06828.jpg","https://www.somogyi.hu/data/img/product_main_images/small/06828.jpg")</f>
        <v>0.0</v>
      </c>
      <c r="F1999" s="2" t="inlineStr">
        <is>
          <t>5998312758465</t>
        </is>
      </c>
      <c r="G1999" s="4" t="inlineStr">
        <is>
          <t>Keresi a tökéletes eszközt a legapróbb forrasztási feladatokhoz? A Home SMA 059 forrasztóhegy, 1,2 mm-es pont fejjel, kifejezetten az SMA 051 és SMA 050 forrasztópáka-állomások számára lett tervezve, hogy lehetővé tegye számára a precíz forrasztást még a legkisebb alkatrészeknél is.
Ez a speciálisan kialakított forrasztóhegy ideális választás azok számára, akik részletekig menően precíz forrasztási munkát szeretnének végezni. A 1,2 mm-es pont fej tökéletesen alkalmas finom elektronikai javításokra, áramköri lapokon végzett munkálatokra, vagy bármilyen helyzetben, ahol a forrasztási pontosság elengedhetetlen. A pont fej lehetővé teszi, hogy pontosan célozza meg a forrasztandó területeket, csökkentve ezzel a túlmelegedés és a környező alkatrészek károsodásának kockázatát.
A Home SMA 059 forrasztóhegy magas minőségű anyagból készült, amely garantálja a hosszú élettartamot és az optimális hőátadást, biztosítva ezzel a forrasztási munka hatékonyságát és pontosságát. A hegy könnyen cserélhető, így rugalmasan alkalmazkodik a különböző projektigényekhez.
Válassza a Home SMA 059 forrasztóhegyet, és élvezze a kifogástalan forrasztási eredményeket, amelyek megkülönböztetik munkáját.</t>
        </is>
      </c>
    </row>
    <row r="2000">
      <c r="A2000" s="3" t="inlineStr">
        <is>
          <t>SMA 056</t>
        </is>
      </c>
      <c r="B2000" s="2" t="inlineStr">
        <is>
          <t>Home SMA 056 forrasztóhegy SMA 051 és SMA 050 forrasztópáka-állomásokhoz, 0,4-0,8 mm, pont fej</t>
        </is>
      </c>
      <c r="C2000" s="1" t="n">
        <v>749.0</v>
      </c>
      <c r="D2000" s="7" t="n">
        <f>HYPERLINK("https://www.somogyi.hu/product/home-sma-056-forrasztohegy-sma-051-es-sma-050-forrasztopaka-allomasokhoz-0-4-0-8-mm-pont-fej-sma-056-6825","https://www.somogyi.hu/product/home-sma-056-forrasztohegy-sma-051-es-sma-050-forrasztopaka-allomasokhoz-0-4-0-8-mm-pont-fej-sma-056-6825")</f>
        <v>0.0</v>
      </c>
      <c r="E2000" s="7" t="n">
        <f>HYPERLINK("https://www.somogyi.hu/data/img/product_main_images/small/06825.jpg","https://www.somogyi.hu/data/img/product_main_images/small/06825.jpg")</f>
        <v>0.0</v>
      </c>
      <c r="F2000" s="2" t="inlineStr">
        <is>
          <t>5998312758434</t>
        </is>
      </c>
      <c r="G2000" s="4" t="inlineStr">
        <is>
          <t>Keresi a tökéletes forrasztóhegyet aprólékos elektronikai munkákhoz? A Home SMA 056 forrasztóhegy kifejezetten a SMA 051 és SMA 050 forrasztópáka-állomások számára lett tervezve, így biztosítva a legpontosabb forrasztási eredményeket még a legkisebb alkatrészeknél is.
Ez a különleges forrasztóhegy 0,4-0,8 mm átmérőjű pont fejjel rendelkezik, amely ideális választás a precíz és finom munkákhoz, ahol a pontosság elengedhetetlen. A Home SMA 056 forrasztóhegy lehetővé teszi, hogy részletekig menően pontosan forrasszon, legyen szó áramkörök javításáról, kisebb elektronikai eszközök összeszereléséről vagy hobbi elektronikai projektekről.
A hegy kialakítása nemcsak a forrasztási pontosságot javítja, hanem hosszú távú használatot és kiváló hőátvitelt is biztosít, így a forrasztópáka gyorsan és hatékonyan éri el a kívánt hőmérsékletet. Egyszerű cseréjének köszönhetően könnyen fenntartható a forrasztóállomás optimális működése.
Ne engedje, hogy a rossz forrasztóhegyek hátráltassák projektjeit. A Home SMA 056 forrasztóhegy használatával maximális kontrollt és precizitást élvezhet minden forrasztási feladat során.</t>
        </is>
      </c>
    </row>
    <row r="2001">
      <c r="A2001" s="6" t="inlineStr">
        <is>
          <t xml:space="preserve">   Mérés, szerszám, forrasztás / Forrasztópáka, gázpáka, pisztolypáka</t>
        </is>
      </c>
      <c r="B2001" s="6" t="inlineStr">
        <is>
          <t/>
        </is>
      </c>
      <c r="C2001" s="6" t="inlineStr">
        <is>
          <t/>
        </is>
      </c>
      <c r="D2001" s="6" t="inlineStr">
        <is>
          <t/>
        </is>
      </c>
      <c r="E2001" s="6" t="inlineStr">
        <is>
          <t/>
        </is>
      </c>
      <c r="F2001" s="6" t="inlineStr">
        <is>
          <t/>
        </is>
      </c>
      <c r="G2001" s="6" t="inlineStr">
        <is>
          <t/>
        </is>
      </c>
    </row>
    <row r="2002">
      <c r="A2002" s="3" t="inlineStr">
        <is>
          <t>PP 2</t>
        </is>
      </c>
      <c r="B2002" s="2" t="inlineStr">
        <is>
          <t>Home PP 2 forrasztópisztoly készlet, 75W/230V~/50Hz, beépített LED világítás, 1+5 db tartós, nikkelezett réz forrasztócsúcs</t>
        </is>
      </c>
      <c r="C2002" s="1" t="n">
        <v>18290.0</v>
      </c>
      <c r="D2002" s="7" t="n">
        <f>HYPERLINK("https://www.somogyi.hu/product/home-pp-2-forrasztopisztoly-keszlet-75w-230v-50hz-beepitett-led-vilagitas-1-5-db-tartos-nikkelezett-rez-forrasztocsucs-pp-2-2868","https://www.somogyi.hu/product/home-pp-2-forrasztopisztoly-keszlet-75w-230v-50hz-beepitett-led-vilagitas-1-5-db-tartos-nikkelezett-rez-forrasztocsucs-pp-2-2868")</f>
        <v>0.0</v>
      </c>
      <c r="E2002" s="7" t="n">
        <f>HYPERLINK("https://www.somogyi.hu/data/img/product_main_images/small/02868.jpg","https://www.somogyi.hu/data/img/product_main_images/small/02868.jpg")</f>
        <v>0.0</v>
      </c>
      <c r="F2002" s="2" t="inlineStr">
        <is>
          <t>5998312731925</t>
        </is>
      </c>
      <c r="G2002" s="4" t="inlineStr">
        <is>
          <t xml:space="preserve"> • teljesítmény: 75 W 
 • beépített világítás: LED 
 • kábelhossz: kb. 1,8m 
 • tartozék: 1   5 db. forrasztócsúcs 
 • tápellátás: 230 V~ / 50 Hz 
 • csomagolási egység: 1 db</t>
        </is>
      </c>
    </row>
    <row r="2003">
      <c r="A2003" s="3" t="inlineStr">
        <is>
          <t>FPL 80T</t>
        </is>
      </c>
      <c r="B2003" s="2" t="inlineStr">
        <is>
          <t>Home FPL 80T pákahegy szett az FPL 80W forrasztópákához, 5 féle különböző kialakítással, nikkelezett, 5 db forrasztócsúcs, 5x ~∅6x41 mm</t>
        </is>
      </c>
      <c r="C2003" s="1" t="n">
        <v>2190.0</v>
      </c>
      <c r="D2003" s="7" t="n">
        <f>HYPERLINK("https://www.somogyi.hu/product/home-fpl-80t-pakahegy-szett-az-fpl-80w-forrasztopakahoz-5-fele-kulonbozo-kialakitassal-nikkelezett-5-db-forrasztocsucs-5x-6x41-mm-fpl-80t-17944","https://www.somogyi.hu/product/home-fpl-80t-pakahegy-szett-az-fpl-80w-forrasztopakahoz-5-fele-kulonbozo-kialakitassal-nikkelezett-5-db-forrasztocsucs-5x-6x41-mm-fpl-80t-17944")</f>
        <v>0.0</v>
      </c>
      <c r="E2003" s="7" t="n">
        <f>HYPERLINK("https://www.somogyi.hu/data/img/product_main_images/small/17944.jpg","https://www.somogyi.hu/data/img/product_main_images/small/17944.jpg")</f>
        <v>0.0</v>
      </c>
      <c r="F2003" s="2" t="inlineStr">
        <is>
          <t>5999084959661</t>
        </is>
      </c>
      <c r="G2003" s="4" t="inlineStr">
        <is>
          <t xml:space="preserve"> • kompatibilitás: FPL 80T 
 • méret: 5x ~∅0,6 x 41 mm</t>
        </is>
      </c>
    </row>
    <row r="2004">
      <c r="A2004" s="3" t="inlineStr">
        <is>
          <t>FPL 80W</t>
        </is>
      </c>
      <c r="B2004" s="2" t="inlineStr">
        <is>
          <t>Home FPL 80W hőfokszabályozós, digitális forrasztópáka, LCD digitális kijelző, szabályozható hőmérséklet (180-480 °C), 230 V~ / 80 W max., kerámia fűtőelem</t>
        </is>
      </c>
      <c r="C2004" s="1" t="n">
        <v>10390.0</v>
      </c>
      <c r="D2004" s="7" t="n">
        <f>HYPERLINK("https://www.somogyi.hu/product/home-fpl-80w-hofokszabalyozos-digitalis-forrasztopaka-lcd-digitalis-kijelzo-szabalyozhato-homerseklet-180-480-c-230-v-80-w-max-keramia-futoelem-fpl-80w-17943","https://www.somogyi.hu/product/home-fpl-80w-hofokszabalyozos-digitalis-forrasztopaka-lcd-digitalis-kijelzo-szabalyozhato-homerseklet-180-480-c-230-v-80-w-max-keramia-futoelem-fpl-80w-17943")</f>
        <v>0.0</v>
      </c>
      <c r="E2004" s="7" t="n">
        <f>HYPERLINK("https://www.somogyi.hu/data/img/product_main_images/small/17943.jpg","https://www.somogyi.hu/data/img/product_main_images/small/17943.jpg")</f>
        <v>0.0</v>
      </c>
      <c r="F2004" s="2" t="inlineStr">
        <is>
          <t>5999084959654</t>
        </is>
      </c>
      <c r="G2004" s="4" t="inlineStr">
        <is>
          <t xml:space="preserve"> • teljesítmény: max. 80 W 
 • szabályozható hőmérséklet: 180 - 480 °C 
 • kompatibilitás: FPL 80T pákahegy szett (opció) 
 • tartozék: 1+5 db nikkelezett forrasztócsúcs 
 • tápellátás: 230 V~ / 50 Hz 
 • méret: hossz: ~23 cm 
 • csomagolási egység: 1 db</t>
        </is>
      </c>
    </row>
    <row r="2005">
      <c r="A2005" s="3" t="inlineStr">
        <is>
          <t>FP 80W</t>
        </is>
      </c>
      <c r="B2005" s="2" t="inlineStr">
        <is>
          <t>Home FP 80W forrasztópáka, 80W, 230V, páka hossza: 290 mm, tartozék asztali támaszték, minőségi csatlakozókábel törésgátlóval</t>
        </is>
      </c>
      <c r="C2005" s="1" t="n">
        <v>5390.0</v>
      </c>
      <c r="D2005" s="7" t="n">
        <f>HYPERLINK("https://www.somogyi.hu/product/home-fp-80w-forrasztopaka-80w-230v-paka-hossza-290-mm-tartozek-asztali-tamasztek-minosegi-csatlakozokabel-toresgatloval-fp-80w-3276","https://www.somogyi.hu/product/home-fp-80w-forrasztopaka-80w-230v-paka-hossza-290-mm-tartozek-asztali-tamasztek-minosegi-csatlakozokabel-toresgatloval-fp-80w-3276")</f>
        <v>0.0</v>
      </c>
      <c r="E2005" s="7" t="n">
        <f>HYPERLINK("https://www.somogyi.hu/data/img/product_main_images/small/03276.jpg","https://www.somogyi.hu/data/img/product_main_images/small/03276.jpg")</f>
        <v>0.0</v>
      </c>
      <c r="F2005" s="2" t="inlineStr">
        <is>
          <t>5998312736005</t>
        </is>
      </c>
      <c r="G2005" s="4" t="inlineStr">
        <is>
          <t>Keresi az ideális forrasztópákát otthoni elektronikai projektekhez? A Home FP 80W forrasztópáka tökéletes választás minden amatőr és haladó elektronikai hobbista számára, akik egy megbízható, könnyen használható eszközt keresnek forrasztási munkáikhoz.
Ez a 230V~/80W teljesítményű forrasztópáka 290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80W forrasztópáka az a tökéletes eszköz, amelyre szüksége van, hogy projektjeit precízen és hatékonyan valósíthassa meg.</t>
        </is>
      </c>
    </row>
    <row r="2006">
      <c r="A2006" s="3" t="inlineStr">
        <is>
          <t>FP 30W</t>
        </is>
      </c>
      <c r="B2006" s="2" t="inlineStr">
        <is>
          <t>Home FP 30W forrasztópáka, 30W, 230V, páka hossza: 240 mm, tartozék asztali támaszték, minőségi csatlakozókábel törésgátlóval</t>
        </is>
      </c>
      <c r="C2006" s="1" t="n">
        <v>3990.0</v>
      </c>
      <c r="D2006" s="7" t="n">
        <f>HYPERLINK("https://www.somogyi.hu/product/home-fp-30w-forrasztopaka-30w-230v-paka-hossza-240-mm-tartozek-asztali-tamasztek-minosegi-csatlakozokabel-toresgatloval-fp-30w-3274","https://www.somogyi.hu/product/home-fp-30w-forrasztopaka-30w-230v-paka-hossza-240-mm-tartozek-asztali-tamasztek-minosegi-csatlakozokabel-toresgatloval-fp-30w-3274")</f>
        <v>0.0</v>
      </c>
      <c r="E2006" s="7" t="n">
        <f>HYPERLINK("https://www.somogyi.hu/data/img/product_main_images/small/03274.jpg","https://www.somogyi.hu/data/img/product_main_images/small/03274.jpg")</f>
        <v>0.0</v>
      </c>
      <c r="F2006" s="2" t="inlineStr">
        <is>
          <t>5998312735985</t>
        </is>
      </c>
      <c r="G2006" s="4" t="inlineStr">
        <is>
          <t>Keresi az ideális forrasztópákát otthoni elektronikai projektekhez? A Home FP 30W forrasztópáka tökéletes választás minden amatőr és haladó elektronikai hobbista számára, akik egy megbízható, könnyen használható eszközt keresnek forrasztási munkáikhoz.
Ez a 230V~/30W teljesítményű forrasztópáka 240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30W forrasztópáka az a tökéletes eszköz, amelyre szüksége van, hogy projektjeit precízen és hatékonyan valósíthassa meg.</t>
        </is>
      </c>
    </row>
    <row r="2007">
      <c r="A2007" s="3" t="inlineStr">
        <is>
          <t>FPH 6</t>
        </is>
      </c>
      <c r="B2007" s="2" t="inlineStr">
        <is>
          <t>Home FPH 6 egyenes hegy FP 60W-os pákához, átmérő: 6 mm</t>
        </is>
      </c>
      <c r="C2007" s="1" t="n">
        <v>699.0</v>
      </c>
      <c r="D2007" s="7" t="n">
        <f>HYPERLINK("https://www.somogyi.hu/product/home-fph-6-egyenes-hegy-fp-60w-os-pakahoz-atmero-6-mm-fph-6-2586","https://www.somogyi.hu/product/home-fph-6-egyenes-hegy-fp-60w-os-pakahoz-atmero-6-mm-fph-6-2586")</f>
        <v>0.0</v>
      </c>
      <c r="E2007" s="7" t="n">
        <f>HYPERLINK("https://www.somogyi.hu/data/img/product_main_images/small/02586.jpg","https://www.somogyi.hu/data/img/product_main_images/small/02586.jpg")</f>
        <v>0.0</v>
      </c>
      <c r="F2007" s="2" t="inlineStr">
        <is>
          <t>5998312729007</t>
        </is>
      </c>
      <c r="G2007" s="4" t="inlineStr">
        <is>
          <t>Van már megfelelő hegye a Home FP 60W-os forrasztópákájához a precíz munkákhoz? A Home FPH 6 egyenes hegy tökéletes választás azok számára, akik a Home FP 60W-os forrasztópákájukhoz keresnek kiváló minőségű, pontos hegyet kisebb forrasztási feladatokhoz.
Ez a 6 mm átmérőjű egyenes hegy ideális eszközzé teszi a Home FP 60W-os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6 egyenes hegy használatával a Home FP 60W-os forrasztópákájához.</t>
        </is>
      </c>
    </row>
    <row r="2008">
      <c r="A2008" s="3" t="inlineStr">
        <is>
          <t>FPH 7</t>
        </is>
      </c>
      <c r="B2008" s="2" t="inlineStr">
        <is>
          <t>Home FPH 7 egyenes hegy FP 80W-os pákához, átmérő: 7 mm</t>
        </is>
      </c>
      <c r="C2008" s="1" t="n">
        <v>969.0</v>
      </c>
      <c r="D2008" s="7" t="n">
        <f>HYPERLINK("https://www.somogyi.hu/product/home-fph-7-egyenes-hegy-fp-80w-os-pakahoz-atmero-7-mm-fph-7-2606","https://www.somogyi.hu/product/home-fph-7-egyenes-hegy-fp-80w-os-pakahoz-atmero-7-mm-fph-7-2606")</f>
        <v>0.0</v>
      </c>
      <c r="E2008" s="7" t="n">
        <f>HYPERLINK("https://www.somogyi.hu/data/img/product_main_images/small/02606.jpg","https://www.somogyi.hu/data/img/product_main_images/small/02606.jpg")</f>
        <v>0.0</v>
      </c>
      <c r="F2008" s="2" t="inlineStr">
        <is>
          <t>5998312729212</t>
        </is>
      </c>
      <c r="G2008" s="4" t="inlineStr">
        <is>
          <t>Van már megfelelő hegye a Home FP 80W-os forrasztópákájához a precíz munkákhoz? A Home FPH 7 egyenes hegy tökéletes választás azok számára, akik a Home FP 80W-os forrasztópákájukhoz keresnek kiváló minőségű, pontos hegyet kisebb forrasztási feladatokhoz.
Ez a 7 mm átmérőjű egyenes hegy ideális eszközzé teszi a Home FP 80W-os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7 egyenes hegy használatával a Home FP 80W-os forrasztópákájához.</t>
        </is>
      </c>
    </row>
    <row r="2009">
      <c r="A2009" s="3" t="inlineStr">
        <is>
          <t>FPH 4</t>
        </is>
      </c>
      <c r="B2009" s="2" t="inlineStr">
        <is>
          <t>Home FPH 4 egyenes hegy FP 30W-os pákához, átmérő: 4 mm</t>
        </is>
      </c>
      <c r="C2009" s="1" t="n">
        <v>499.0</v>
      </c>
      <c r="D2009" s="7" t="n">
        <f>HYPERLINK("https://www.somogyi.hu/product/home-fph-4-egyenes-hegy-fp-30w-os-pakahoz-atmero-4-mm-fph-4-2585","https://www.somogyi.hu/product/home-fph-4-egyenes-hegy-fp-30w-os-pakahoz-atmero-4-mm-fph-4-2585")</f>
        <v>0.0</v>
      </c>
      <c r="E2009" s="7" t="n">
        <f>HYPERLINK("https://www.somogyi.hu/data/img/product_main_images/small/02585.jpg","https://www.somogyi.hu/data/img/product_main_images/small/02585.jpg")</f>
        <v>0.0</v>
      </c>
      <c r="F2009" s="2" t="inlineStr">
        <is>
          <t>5998312728994</t>
        </is>
      </c>
      <c r="G2009" s="4" t="inlineStr">
        <is>
          <t>Van már megfelelő hegye a Home FP 30W-os forrasztópákájához a precíz munkákhoz? A Home FPH 4 egyenes hegy tökéletes választás azok számára, akik a Home FP 30W-os forrasztópákájukhoz keresnek kiváló minőségű, pontos hegyet kisebb forrasztási feladatokhoz.
Ez a 4 mm átmérőjű egyenes hegy ideális eszközzé teszi a Home FP 30W-os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4 egyenes hegy használatával a Home FP 30W-os forrasztópákájához.</t>
        </is>
      </c>
    </row>
    <row r="2010">
      <c r="A2010" s="3" t="inlineStr">
        <is>
          <t>FP 60W</t>
        </is>
      </c>
      <c r="B2010" s="2" t="inlineStr">
        <is>
          <t>Home FP 60W forrasztópáka, 60W, 230V, páka hossza: 270 mm, tartozék asztali támaszték, minőségi csatlakozókábel törésgátlóval</t>
        </is>
      </c>
      <c r="C2010" s="1" t="n">
        <v>4590.0</v>
      </c>
      <c r="D2010" s="7" t="n">
        <f>HYPERLINK("https://www.somogyi.hu/product/home-fp-60w-forrasztopaka-60w-230v-paka-hossza-270-mm-tartozek-asztali-tamasztek-minosegi-csatlakozokabel-toresgatloval-fp-60w-3275","https://www.somogyi.hu/product/home-fp-60w-forrasztopaka-60w-230v-paka-hossza-270-mm-tartozek-asztali-tamasztek-minosegi-csatlakozokabel-toresgatloval-fp-60w-3275")</f>
        <v>0.0</v>
      </c>
      <c r="E2010" s="7" t="n">
        <f>HYPERLINK("https://www.somogyi.hu/data/img/product_main_images/small/03275.jpg","https://www.somogyi.hu/data/img/product_main_images/small/03275.jpg")</f>
        <v>0.0</v>
      </c>
      <c r="F2010" s="2" t="inlineStr">
        <is>
          <t>5998312735992</t>
        </is>
      </c>
      <c r="G2010" s="4" t="inlineStr">
        <is>
          <t>Keresi az ideális forrasztópákát otthoni elektronikai projektekhez? A Home FP 60W forrasztópáka tökéletes választás minden amatőr és haladó elektronikai hobbista számára, akik egy megbízható, könnyen használható eszközt keresnek forrasztási munkáikhoz.
Ez a 230V~/60W teljesítményű forrasztópáka 270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60W forrasztópáka az a tökéletes eszköz, amelyre szüksége van, hogy projektjeit precízen és hatékonyan valósíthassa meg.</t>
        </is>
      </c>
    </row>
    <row r="2011">
      <c r="A2011" s="3" t="inlineStr">
        <is>
          <t>PP 75</t>
        </is>
      </c>
      <c r="B2011" s="2" t="inlineStr">
        <is>
          <t>Home PP 75 forrasztópisztoly készlet, 75W/230V~/50Hz, beépített LED világítás, koffer további tartalma: 5+1 db forrasztócsúcs, 16 g forrasztógyanta, 10 g forrasztóón</t>
        </is>
      </c>
      <c r="C2011" s="1" t="n">
        <v>22390.0</v>
      </c>
      <c r="D2011" s="7" t="n">
        <f>HYPERLINK("https://www.somogyi.hu/product/home-pp-75-forrasztopisztoly-keszlet-75w-230v-50hz-beepitett-led-vilagitas-koffer-tovabbi-tartalma-5-1-db-forrasztocsucs-16-g-forrasztogyanta-10-g-forrasztoon-pp-75-16212","https://www.somogyi.hu/product/home-pp-75-forrasztopisztoly-keszlet-75w-230v-50hz-beepitett-led-vilagitas-koffer-tovabbi-tartalma-5-1-db-forrasztocsucs-16-g-forrasztogyanta-10-g-forrasztoon-pp-75-16212")</f>
        <v>0.0</v>
      </c>
      <c r="E2011" s="7" t="n">
        <f>HYPERLINK("https://www.somogyi.hu/data/img/product_main_images/small/16212.jpg","https://www.somogyi.hu/data/img/product_main_images/small/16212.jpg")</f>
        <v>0.0</v>
      </c>
      <c r="F2011" s="2" t="inlineStr">
        <is>
          <t>5999084942441</t>
        </is>
      </c>
      <c r="G2011" s="4" t="inlineStr">
        <is>
          <t>Szeretne egy mindent magában foglaló forrasztópisztoly-készletet, amely minden forrasztási projektjéhez tökéletesen megfelelne? A Home PP 75 forrasztópisztoly készlet a minőségi cseh gyártást és a modern funkciókat egyesíti, hogy kiváló forrasztási élményt nyújtson, legyen szó bármilyen projektről.
Ez a 75W/230V teljesítményű forrasztópisztoly beépített LED világítással rendelkezik, amely kiváló láthatóságot biztosít még a nehezen hozzáférhető helyeken végzett munkák során is. A készlet tartalmaz 5+1 db cserélhető forrasztócsúcsot, amelyek széles választékát kínálják a különböző forrasztási igényeknek, legyen szó finom elektronikai javításról vagy nagyobb összeszerelési feladatokról. A koffer további tartalma egy 16 g forrasztógyanta és egy 10 g forrasztóón, így minden szükséges eszközt és anyagot egy helyen tartva megkönnyíti a forrasztási munkálatokat. A készlet praktikus tárolását és szállítását a strapabíró koffer biztosítja, amely megvédi a forrasztópisztolyt és tartozékait a sérülésektől.
A Home PP 75 forrasztópisztoly készlet a tökéletes választás mindenki számára, aki egy magas minőségű, sokoldalú és könnyen használható forrasztóeszközt keres.</t>
        </is>
      </c>
    </row>
    <row r="2012">
      <c r="A2012" s="3" t="inlineStr">
        <is>
          <t>8PK-101-2</t>
        </is>
      </c>
      <c r="B2012" s="2" t="inlineStr">
        <is>
          <t>Pro'skit 8PK-101-2 gázpáka, forrasztáshoz, melegítéshez, zsugorításhoz, ónozáshoz, daraboláshoz, szabályozható szúróláng, öngyújtógázzal feltölthető</t>
        </is>
      </c>
      <c r="C2012" s="1" t="n">
        <v>9790.0</v>
      </c>
      <c r="D2012" s="7" t="n">
        <f>HYPERLINK("https://www.somogyi.hu/product/pro-skit-8pk-101-2-gazpaka-forrasztashoz-melegiteshez-zsugoritashoz-onozashoz-darabolashoz-szabalyozhato-szurolang-ongyujtogazzal-feltoltheto-8pk-101-2-4466","https://www.somogyi.hu/product/pro-skit-8pk-101-2-gazpaka-forrasztashoz-melegiteshez-zsugoritashoz-onozashoz-darabolashoz-szabalyozhato-szurolang-ongyujtogazzal-feltoltheto-8pk-101-2-4466")</f>
        <v>0.0</v>
      </c>
      <c r="E2012" s="7" t="n">
        <f>HYPERLINK("https://www.somogyi.hu/data/img/product_main_images/small/04466.jpg","https://www.somogyi.hu/data/img/product_main_images/small/04466.jpg")</f>
        <v>0.0</v>
      </c>
      <c r="F2012" s="2" t="inlineStr">
        <is>
          <t>5998312739280</t>
        </is>
      </c>
      <c r="G2012" s="4" t="inlineStr">
        <is>
          <t>Van már olyan sokoldalú eszköze, amely forraszt, melegít, zsugorít, ónoz és darabol is? A Pro'skit 8PK-101-2 gázpáka egy rendkívül rugalmas szerszám, amely mindezeket a funkciókat kínálja, így ideális választás minden olyan projekt számára, ahol precíziós hőkezelésre van szükség.
Ez a kiváló minőségű eszköz szabályozható szúrólánggal rendelkezik, amely lehetővé teszi a hőmérséklet finom beállítását a különböző feladatokhoz. A csomag tartalmaz 2 cserélhető fejet, amelyek tovább növelik a páka sokoldalúságát, így az tökéletesen alkalmazkodik a forrasztás, melegítés, zsugorítás, ónozás és darabolás különböző igényeihez. Az öngyújtógázzal feltölthető páka 130 mm hosszúságú, és gáz nélkül szállítjuk, így biztonságosan kezelhető és szállítható.
A Pro'skit 8PK-101-2 gázpáka az ideális eszköz azok számára, akik egy multifunkcionális, hordozható megoldást keresnek a legkülönfélébb hőkezelési feladatokra.</t>
        </is>
      </c>
    </row>
    <row r="2013">
      <c r="A2013" s="3" t="inlineStr">
        <is>
          <t>SG 109</t>
        </is>
      </c>
      <c r="B2013" s="2" t="inlineStr">
        <is>
          <t>Home SG 109 pisztolypáka, 100W/230V~, gyors felfűtés, beépített izzó, szerszám nélkül cserélhető hegy</t>
        </is>
      </c>
      <c r="C2013" s="1" t="n">
        <v>6590.0</v>
      </c>
      <c r="D2013" s="7" t="n">
        <f>HYPERLINK("https://www.somogyi.hu/product/home-sg-109-pisztolypaka-100w-230v-gyors-felfutes-beepitett-izzo-szerszam-nelkul-cserelheto-hegy-sg-109-6708","https://www.somogyi.hu/product/home-sg-109-pisztolypaka-100w-230v-gyors-felfutes-beepitett-izzo-szerszam-nelkul-cserelheto-hegy-sg-109-6708")</f>
        <v>0.0</v>
      </c>
      <c r="E2013" s="7" t="n">
        <f>HYPERLINK("https://www.somogyi.hu/data/img/product_main_images/small/06708.jpg","https://www.somogyi.hu/data/img/product_main_images/small/06708.jpg")</f>
        <v>0.0</v>
      </c>
      <c r="F2013" s="2" t="inlineStr">
        <is>
          <t>5998312757444</t>
        </is>
      </c>
      <c r="G2013" s="4" t="inlineStr">
        <is>
          <t>Szeretne egy erős és megbízható pisztolypákát, ami gyorsan felfűt? A Home SG 109 pisztolypáka kiváló választás azok számára, akik egy hatékony, 100W/230V teljesítményű forrasztóeszközt keresnek, ami gyorsan készen áll minden forrasztási feladatra.
Ez a pisztolypáka kiemelkedik a gyors felfűtési képességével, amely lehetővé teszi, hogy rövid idő alatt elkezdhesse a forrasztási munkát. A beépített izzó biztosítja a munkaterület megfelelő megvilágítását, így még a nehezen hozzáférhető helyeken is pontosan láthatja, mit csinál. Az egyszerű használatot tovább növeli a szerszám nélkül cserélhető hegy, ami lehetővé teszi, hogy gyorsan és egyszerűen alkalmazkodjon a különböző forrasztási feladatokhoz anélkül, hogy külön szerszámokat kellene használnia.
A Home SG 109 pisztolypáka az ideális eszköz minden hobbista és professzionális felhasználó számára, aki gyors, hatékony és pontos forrasztást szeretne.</t>
        </is>
      </c>
    </row>
    <row r="2014">
      <c r="A2014" s="3" t="inlineStr">
        <is>
          <t>PP 75T</t>
        </is>
      </c>
      <c r="B2014" s="2" t="inlineStr">
        <is>
          <t>Home PP 75T forrasztóhegy PP75, PP2, PP1 forrasztópisztolyokhoz, 43 mm / 1,5 mm2 nikkel bevonatú vörösréz, 10 db / csomag</t>
        </is>
      </c>
      <c r="C2014" s="1" t="n">
        <v>1250.0</v>
      </c>
      <c r="D2014" s="7" t="n">
        <f>HYPERLINK("https://www.somogyi.hu/product/home-pp-75t-forrasztohegy-pp75-pp2-pp1-forrasztopisztolyokhoz-43-mm-1-5-mm2-nikkel-bevonatu-vorosrez-10-db-csomag-pp-75t-16317","https://www.somogyi.hu/product/home-pp-75t-forrasztohegy-pp75-pp2-pp1-forrasztopisztolyokhoz-43-mm-1-5-mm2-nikkel-bevonatu-vorosrez-10-db-csomag-pp-75t-16317")</f>
        <v>0.0</v>
      </c>
      <c r="E2014" s="7" t="n">
        <f>HYPERLINK("https://www.somogyi.hu/data/img/product_main_images/small/16317.jpg","https://www.somogyi.hu/data/img/product_main_images/small/16317.jpg")</f>
        <v>0.0</v>
      </c>
      <c r="F2014" s="2" t="inlineStr">
        <is>
          <t>5999084943493</t>
        </is>
      </c>
      <c r="G2014" s="4" t="inlineStr">
        <is>
          <t>Tökéletes forrasztóhegyet keres a PP75, PP2 vagy PP1 forrasztópisztolyához? A Home PP 75T forrasztóhegy kifejezetten ezekhez a modellekhez lett tervezve, így biztosíthatja a forrasztópisztolya optimális teljesítményét.
A 43 mm hosszú és 1,5 mm² átmérőjű nikkel bevonatú vörösréz forrasztóhegy kiváló hővezető képességgel rendelkezik, ami lehetővé teszi a gyors és egyenletes hőeloszlást a forrasztás során. Ez a tulajdonság különösen fontos a precíz és megbízható forrasztási kapcsolatok létrehozásához, minimálisra csökkentve a hő okozta károkat az elektronikai alkatrészekben.
Minden csomag 10 db forrasztóhegyet tartalmaz, így hosszú ideig nem kell aggódnia a csere miatt, és folyamatosan fenntarthatja a munka magas minőségét. A nikkel bevonat nemcsak javítja a hőátadást, hanem növeli a forrasztóhegy élettartamát is, ellenállva a korróziónak és az elhasználódásnak.
Válassza a Home PP 75T forrasztóhegyet, és biztosítsa forrasztópisztolya számára a legjobb tartozékot a pontos és hatékony munkavégzéshez.</t>
        </is>
      </c>
    </row>
    <row r="2015">
      <c r="A2015" s="3" t="inlineStr">
        <is>
          <t>SG 109T</t>
        </is>
      </c>
      <c r="B2015" s="2" t="inlineStr">
        <is>
          <t>Home SG 109T póthegy SG 109 pákához</t>
        </is>
      </c>
      <c r="C2015" s="1" t="n">
        <v>669.0</v>
      </c>
      <c r="D2015" s="7" t="n">
        <f>HYPERLINK("https://www.somogyi.hu/product/home-sg-109t-pothegy-sg-109-pakahoz-sg-109t-6823","https://www.somogyi.hu/product/home-sg-109t-pothegy-sg-109-pakahoz-sg-109t-6823")</f>
        <v>0.0</v>
      </c>
      <c r="E2015" s="7" t="n">
        <f>HYPERLINK("https://www.somogyi.hu/data/img/product_main_images/small/06823.jpg","https://www.somogyi.hu/data/img/product_main_images/small/06823.jpg")</f>
        <v>0.0</v>
      </c>
      <c r="F2015" s="2" t="inlineStr">
        <is>
          <t>5998312758410</t>
        </is>
      </c>
      <c r="G2015" s="4" t="inlineStr">
        <is>
          <t>Egy megbízható póthegyet keres a Home SG 109 pákájához? A Home SG 109T póthegy pontosan az, amire szüksége van, hogy pákáját újra a legjobb formájában használhassa. 
Ez a kiváló minőségű póthegy biztosítja, hogy a forrasztási munkák mindig precízen és hatékonyan végezhetők el. A Home SG 109T póthegy tökéletesen illeszkedik a SG 109 típusú forrasztópákához, így könnyedén cserélhető, amikor elhasználódik vagy ha más típusú hegyre van szükség a különféle forrasztási feladatokhoz. Ez a rugalmasság lehetővé teszi a felhasználók számára, hogy minden projektjükhöz megfelelő hegyet válasszanak, növelve ezzel a munka minőségét és hatékonyságát.
A póthegy cseréje egyszerű és gyors. A kiváló minőségű anyagok garantálják a hosszú élettartamot és a kiváló hőátvitelt, ami létfontosságú a pontos forrasztási munkákhoz.
Tegye forrasztási folyamatát zökkenőmentesebbé a Home SG 109T póthegy használatával. Ne hagyja, hogy egy kopott vagy rossz hegy befolyásolja a munkájának minőségét.</t>
        </is>
      </c>
    </row>
    <row r="2016">
      <c r="A2016" s="6" t="inlineStr">
        <is>
          <t xml:space="preserve">   Mérés, szerszám, forrasztás / Ónszippantó</t>
        </is>
      </c>
      <c r="B2016" s="6" t="inlineStr">
        <is>
          <t/>
        </is>
      </c>
      <c r="C2016" s="6" t="inlineStr">
        <is>
          <t/>
        </is>
      </c>
      <c r="D2016" s="6" t="inlineStr">
        <is>
          <t/>
        </is>
      </c>
      <c r="E2016" s="6" t="inlineStr">
        <is>
          <t/>
        </is>
      </c>
      <c r="F2016" s="6" t="inlineStr">
        <is>
          <t/>
        </is>
      </c>
      <c r="G2016" s="6" t="inlineStr">
        <is>
          <t/>
        </is>
      </c>
    </row>
    <row r="2017">
      <c r="A2017" s="3" t="inlineStr">
        <is>
          <t>5PK-366N-T</t>
        </is>
      </c>
      <c r="B2017" s="2" t="inlineStr">
        <is>
          <t xml:space="preserve">Pro'skit 5PK-366N-T póthegy ónszippantóhoz, 8PK-366N-G termékhez, teflon hegy, </t>
        </is>
      </c>
      <c r="C2017" s="1" t="n">
        <v>969.0</v>
      </c>
      <c r="D2017" s="7" t="n">
        <f>HYPERLINK("https://www.somogyi.hu/product/pro-skit-5pk-366n-t-pothegy-onszippantohoz-8pk-366n-g-termekhez-teflon-hegy-5pk-366n-t-4758","https://www.somogyi.hu/product/pro-skit-5pk-366n-t-pothegy-onszippantohoz-8pk-366n-g-termekhez-teflon-hegy-5pk-366n-t-4758")</f>
        <v>0.0</v>
      </c>
      <c r="E2017" s="7" t="n">
        <f>HYPERLINK("https://www.somogyi.hu/data/img/product_main_images/small/04758.jpg","https://www.somogyi.hu/data/img/product_main_images/small/04758.jpg")</f>
        <v>0.0</v>
      </c>
      <c r="F2017" s="2" t="inlineStr">
        <is>
          <t>5998312742013</t>
        </is>
      </c>
      <c r="G2017" s="4" t="inlineStr">
        <is>
          <t>Egy megbízható megoldást keres ónszippantójának karbantartására és javítására? A Pro'skit 5PK-366N-T póthegy a 8PK-366N-G ónszippantóhoz pontosan ezt kínálja, biztosítva, hogy eszköze mindig a legjobb állapotban legyen a hatékony és pontos munkához.
Ez a speciálisan tervezett póthegy foglalatával egybeépített stabil teflon hegyet tartalmaz, amely kiváló hőállóságot és tartósságot biztosít, így hosszú távon is megbízhatóan használható. A fekete hegy és a szürke ház esztétikailag is illeszkedik a Pro'skit ónszippantó dizájnjához, míg a tömítőgyűrű garantálja a szívóhatás maximalizálását anélkül, hogy levegő szivárogna be a nem kívánt helyeken.
A Pro'skit 5PK-366N-T póthegy telepítése egyszerű és gyors, lehetővé téve, hogy kevesebb időt töltsön az eszköz karbantartásával, és többet a forrasztási feladatokra koncentrálhasson. Ez az alkatrész tökéletes választás, ha póthegyre van szüksége az ónszippantójához, legyen az a rendszeres karbantartás része, vagy egy váratlan sérülés miatti cseréről.
Frissítse ónszippantóját a Pro'skit 5PK-366N-T pótheggyel, és élvezze a zökkenőmentes, hatékony óneltávolítást minden egyes használatkor.</t>
        </is>
      </c>
    </row>
    <row r="2018">
      <c r="A2018" s="3" t="inlineStr">
        <is>
          <t>8PK-366N-G</t>
        </is>
      </c>
      <c r="B2018" s="2" t="inlineStr">
        <is>
          <t>Pro'skit 8PK-366N-G ónszippantó, erős szívóhatás, tartósan hőálló, dupla gumigyűrű</t>
        </is>
      </c>
      <c r="C2018" s="1" t="n">
        <v>2590.0</v>
      </c>
      <c r="D2018" s="7" t="n">
        <f>HYPERLINK("https://www.somogyi.hu/product/pro-skit-8pk-366n-g-onszippanto-eros-szivohatas-tartosan-hoallo-dupla-gumigyuru-8pk-366n-g-4467","https://www.somogyi.hu/product/pro-skit-8pk-366n-g-onszippanto-eros-szivohatas-tartosan-hoallo-dupla-gumigyuru-8pk-366n-g-4467")</f>
        <v>0.0</v>
      </c>
      <c r="E2018" s="7" t="n">
        <f>HYPERLINK("https://www.somogyi.hu/data/img/product_main_images/small/04467.jpg","https://www.somogyi.hu/data/img/product_main_images/small/04467.jpg")</f>
        <v>0.0</v>
      </c>
      <c r="F2018" s="2" t="inlineStr">
        <is>
          <t>5998312739297</t>
        </is>
      </c>
      <c r="G2018" s="4" t="inlineStr">
        <is>
          <t>Unja már, hogy nem megfelelő eszközökkel küzd a forrasztások alkalmával? A Pro'skit 8PK-366N-G ónszippantó az erős szívóhatásával garantáltan megkönnyíti a munkáját, így többé nem kell aggódnia a makacs ónmaradványok miatt.
Ez a kiváló minőségű ónszippantó kiemelkedik tartós, hőálló teflon hegyével, amely stabil és megbízható használatot biztosít még a legnehezebb forrasztási feladatok során is. A dupla gumigyűrű tovább növeli a szívóhatást, így a forrasztás során keletkező ón gyorsan és hatékonyan távolítható el. Az eltávolítható színes burkolat nemcsak esztétikus megjelenést kölcsönöz az eszköznek, hanem lehetővé teszi a könnyű tisztítást és karbantartást is.
Mérete, ∅26 x 205 mm, ideális a kényelmes használathoz, így a Pro'skit 8PK-366N-G ónszippantó tökéletes kiegészítője lehet bármelyik forrasztó munkaállomásnak. Többé nem kell kompromisszumot kötnie az ón eltávolításának hatékonysága és a munkafolyamat kényelme között.
Váltson a Pro'skit 8PK-366N-G ónszippantóra, és tapasztalja meg, hogy milyen könnyedén távolítható el a felesleges ón a forrasztási felületekről.</t>
        </is>
      </c>
    </row>
    <row r="2019">
      <c r="A2019" s="6" t="inlineStr">
        <is>
          <t xml:space="preserve">   Mérés, szerszám, forrasztás / Forrasztóón, segédanyag</t>
        </is>
      </c>
      <c r="B2019" s="6" t="inlineStr">
        <is>
          <t/>
        </is>
      </c>
      <c r="C2019" s="6" t="inlineStr">
        <is>
          <t/>
        </is>
      </c>
      <c r="D2019" s="6" t="inlineStr">
        <is>
          <t/>
        </is>
      </c>
      <c r="E2019" s="6" t="inlineStr">
        <is>
          <t/>
        </is>
      </c>
      <c r="F2019" s="6" t="inlineStr">
        <is>
          <t/>
        </is>
      </c>
      <c r="G2019" s="6" t="inlineStr">
        <is>
          <t/>
        </is>
      </c>
    </row>
    <row r="2020">
      <c r="A2020" s="3" t="inlineStr">
        <is>
          <t>SW 1,5/250</t>
        </is>
      </c>
      <c r="B2020" s="2" t="inlineStr">
        <is>
          <t>Home SW 1,5/250 forrasztóón, 1,5mm, 250g, európai gyártótól származó kiváló minőségű forrasztóón, összetétel: SN/PB: 60/40%, gyanta: 2,0%</t>
        </is>
      </c>
      <c r="C2020" s="1" t="n">
        <v>7190.0</v>
      </c>
      <c r="D2020" s="7" t="n">
        <f>HYPERLINK("https://www.somogyi.hu/product/home-sw-1-5-250-forrasztoon-1-5mm-250g-europai-gyartotol-szarmazo-kivalo-minosegu-forrasztoon-osszetetel-sn-pb-60-40-gyanta-2-0-sw-1-5-250-4429","https://www.somogyi.hu/product/home-sw-1-5-250-forrasztoon-1-5mm-250g-europai-gyartotol-szarmazo-kivalo-minosegu-forrasztoon-osszetetel-sn-pb-60-40-gyanta-2-0-sw-1-5-250-4429")</f>
        <v>0.0</v>
      </c>
      <c r="E2020" s="7" t="n">
        <f>HYPERLINK("https://www.somogyi.hu/data/img/product_main_images/small/04429.jpg","https://www.somogyi.hu/data/img/product_main_images/small/04429.jpg")</f>
        <v>0.0</v>
      </c>
      <c r="F2020" s="2" t="inlineStr">
        <is>
          <t>5998312738917</t>
        </is>
      </c>
      <c r="G2020" s="4" t="inlineStr">
        <is>
          <t>Egy kiváló minőségű forrasztóónt keres, amely pontos és tiszta forrasztási eredményeket biztosít? A Home SW 1,5/250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250g-os kiszerelés hosszú távra elegendő anyagot biztosít, legyen szó akár hobbi elektronikai projektekről, akár professzionális felhasználásról.
A Home SW 1,5/250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1,5/250 forrasztóónt, és biztosítsa projektjei sikerét azzal, hogy a legjobb minőségű anyagokkal dolgozik.</t>
        </is>
      </c>
    </row>
    <row r="2021">
      <c r="A2021" s="3" t="inlineStr">
        <is>
          <t>SW 1/250</t>
        </is>
      </c>
      <c r="B2021" s="2" t="inlineStr">
        <is>
          <t>Home SW 1/250 forrasztóón, 1mm, 250g, európai gyártótól származó kiváló minőségű forrasztóón, összetétel: SN/PB: 60/40%, gyanta: 2,0%</t>
        </is>
      </c>
      <c r="C2021" s="1" t="n">
        <v>7190.0</v>
      </c>
      <c r="D2021" s="7" t="n">
        <f>HYPERLINK("https://www.somogyi.hu/product/home-sw-1-250-forrasztoon-1mm-250g-europai-gyartotol-szarmazo-kivalo-minosegu-forrasztoon-osszetetel-sn-pb-60-40-gyanta-2-0-sw-1-250-4427","https://www.somogyi.hu/product/home-sw-1-250-forrasztoon-1mm-250g-europai-gyartotol-szarmazo-kivalo-minosegu-forrasztoon-osszetetel-sn-pb-60-40-gyanta-2-0-sw-1-250-4427")</f>
        <v>0.0</v>
      </c>
      <c r="E2021" s="7" t="n">
        <f>HYPERLINK("https://www.somogyi.hu/data/img/product_main_images/small/04427.jpg","https://www.somogyi.hu/data/img/product_main_images/small/04427.jpg")</f>
        <v>0.0</v>
      </c>
      <c r="F2021" s="2" t="inlineStr">
        <is>
          <t>5998312738894</t>
        </is>
      </c>
      <c r="G2021" s="4" t="inlineStr">
        <is>
          <t>Egy kiváló minőségű forrasztóónt keres, amely pontos és tiszta forrasztási eredményeket biztosít? A Home SW 1/250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250g-os kiszerelés hosszú távra elegendő anyagot biztosít, legyen szó akár hobbi elektronikai projektekről, akár professzionális felhasználásról.
A Home SW 1/250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1/250 forrasztóónt, és biztosítsa projektjei sikerét azzal, hogy a legjobb minőségű anyagokkal dolgozik.</t>
        </is>
      </c>
    </row>
    <row r="2022">
      <c r="A2022" s="3" t="inlineStr">
        <is>
          <t>SW 2/250</t>
        </is>
      </c>
      <c r="B2022" s="2" t="inlineStr">
        <is>
          <t>Home SW 2/250 forrasztóón, 2mm, 250g, európai gyártótól származó kiváló minőségű forrasztóón, összetétel: SN/PB: 60/40%, gyanta: 2,0%</t>
        </is>
      </c>
      <c r="C2022" s="1" t="n">
        <v>7190.0</v>
      </c>
      <c r="D2022" s="7" t="n">
        <f>HYPERLINK("https://www.somogyi.hu/product/home-sw-2-250-forrasztoon-2mm-250g-europai-gyartotol-szarmazo-kivalo-minosegu-forrasztoon-osszetetel-sn-pb-60-40-gyanta-2-0-sw-2-250-7513","https://www.somogyi.hu/product/home-sw-2-250-forrasztoon-2mm-250g-europai-gyartotol-szarmazo-kivalo-minosegu-forrasztoon-osszetetel-sn-pb-60-40-gyanta-2-0-sw-2-250-7513")</f>
        <v>0.0</v>
      </c>
      <c r="E2022" s="7" t="n">
        <f>HYPERLINK("https://www.somogyi.hu/data/img/product_main_images/small/07513.jpg","https://www.somogyi.hu/data/img/product_main_images/small/07513.jpg")</f>
        <v>0.0</v>
      </c>
      <c r="F2022" s="2" t="inlineStr">
        <is>
          <t>5998312764978</t>
        </is>
      </c>
      <c r="G2022" s="4" t="inlineStr">
        <is>
          <t>Egy kiváló minőségű forrasztóónt keres, amely pontos és tiszta forrasztási eredményeket biztosít? A Home SW 2/250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250g-os kiszerelés hosszú távra elegendő anyagot biztosít, legyen szó akár hobbi elektronikai projektekről, akár professzionális felhasználásról.
A Home SW 2/250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2/250 forrasztóónt, és biztosítsa projektjei sikerét azzal, hogy a legjobb minőségű anyagokkal dolgozik.</t>
        </is>
      </c>
    </row>
    <row r="2023">
      <c r="A2023" s="3" t="inlineStr">
        <is>
          <t>TS 560</t>
        </is>
      </c>
      <c r="B2023" s="2" t="inlineStr">
        <is>
          <t>Home TS 560 forrasztóolaj, kismértékben aktivált klórmentes folyósító szer villamos ipari és elektronikai finom forrasztási munkákhoz, 20ml</t>
        </is>
      </c>
      <c r="C2023" s="1" t="n">
        <v>1490.0</v>
      </c>
      <c r="D2023" s="7" t="n">
        <f>HYPERLINK("https://www.somogyi.hu/product/home-ts-560-forrasztoolaj-kismertekben-aktivalt-klormentes-folyosito-szer-villamos-ipari-es-elektronikai-finom-forrasztasi-munkakhoz-20ml-ts-560-1939","https://www.somogyi.hu/product/home-ts-560-forrasztoolaj-kismertekben-aktivalt-klormentes-folyosito-szer-villamos-ipari-es-elektronikai-finom-forrasztasi-munkakhoz-20ml-ts-560-1939")</f>
        <v>0.0</v>
      </c>
      <c r="E2023" s="7" t="n">
        <f>HYPERLINK("https://www.somogyi.hu/data/img/product_main_images/small/01939.jpg","https://www.somogyi.hu/data/img/product_main_images/small/01939.jpg")</f>
        <v>0.0</v>
      </c>
      <c r="F2023" s="2" t="inlineStr">
        <is>
          <t>5998312705421</t>
        </is>
      </c>
      <c r="G2023" s="4" t="inlineStr">
        <is>
          <t>Keresi a tökéletes forrasztóolajat, ami professzionális eredményt biztosít villamos és elektronikai finom forrasztási munkákhoz? A Home TS 560 forrasztóolaj az Ön számára ideális választás, kifejezetten azok számára készült, akik precíz és tiszta forrasztási eredményeket szeretnének elérni.
Ez a kismértékben aktivált, klórmentes folyósító szer kiváló minőségű forrasztást tesz lehetővé, anélkül, hogy káros anyagokat tartalmazna, így biztonságosan használható a villamos iparban és az elektronikai finomforrasztási feladatok során. A Home TS 560 forrasztóolaj segítségével javíthatja a forrasztás minőségét, növelheti a forrasztási folyamat hatékonyságát és csökkentheti a hibás forrasztások számát.
A termék könnyen alkalmazható és gyorsan reagál, így ideális választás mind az amatőr barkácsolók, mind a professzionális technikusok számára. Legyen szó nyomtatott áramkörök javításáról, kábelek összekötéséről vagy elektronikai eszközök szereléséről, a Home TS 560 forrasztóolaj megbízható segítőtársa lesz minden forrasztási munkánál.
Válassza a Home TS 560 forrasztóolajat, és biztosítsa a legjobb minőségű, hosszan tartó forrasztási kapcsolatokat minden elektronikai projektjében.</t>
        </is>
      </c>
    </row>
    <row r="2024">
      <c r="A2024" s="3" t="inlineStr">
        <is>
          <t>SW 1/100</t>
        </is>
      </c>
      <c r="B2024" s="2" t="inlineStr">
        <is>
          <t>Home SW 1/100 forrasztóón, 1mm, 100g, európai gyártótól származó kiváló minőségű forrasztóón, összetétel: SN/PB: 60/40%, gyanta: 2,0%</t>
        </is>
      </c>
      <c r="C2024" s="1" t="n">
        <v>3190.0</v>
      </c>
      <c r="D2024" s="7" t="n">
        <f>HYPERLINK("https://www.somogyi.hu/product/home-sw-1-100-forrasztoon-1mm-100g-europai-gyartotol-szarmazo-kivalo-minosegu-forrasztoon-osszetetel-sn-pb-60-40-gyanta-2-0-sw-1-100-4425","https://www.somogyi.hu/product/home-sw-1-100-forrasztoon-1mm-100g-europai-gyartotol-szarmazo-kivalo-minosegu-forrasztoon-osszetetel-sn-pb-60-40-gyanta-2-0-sw-1-100-4425")</f>
        <v>0.0</v>
      </c>
      <c r="E2024" s="7" t="n">
        <f>HYPERLINK("https://www.somogyi.hu/data/img/product_main_images/small/04425.jpg","https://www.somogyi.hu/data/img/product_main_images/small/04425.jpg")</f>
        <v>0.0</v>
      </c>
      <c r="F2024" s="2" t="inlineStr">
        <is>
          <t>5998312738870</t>
        </is>
      </c>
      <c r="G2024" s="4" t="inlineStr">
        <is>
          <t>Egy kiváló minőségű forrasztóónt keres, amely pontos és tiszta forrasztási eredményeket biztosít? A Home SW 1/100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100g-os kiszerelés hosszú távra elegendő anyagot biztosít, legyen szó akár hobbi elektronikai projektekről, akár professzionális felhasználásról.
A Home SW 1/100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1/100 forrasztóónt, és biztosítsa projektjei sikerét azzal, hogy a legjobb minőségű anyagokkal dolgozik.</t>
        </is>
      </c>
    </row>
    <row r="2025">
      <c r="A2025" s="3" t="inlineStr">
        <is>
          <t>SW 0,8/250</t>
        </is>
      </c>
      <c r="B2025" s="2" t="inlineStr">
        <is>
          <t>Home SW 0,8/250 forrasztóón, 0,8mm, 250g, európai gyártótól származó kiváló minőségű forrasztóón, összetétel: SN/PB: 60/40%, gyanta: 2,0%</t>
        </is>
      </c>
      <c r="C2025" s="1" t="n">
        <v>7290.0</v>
      </c>
      <c r="D2025" s="7" t="n">
        <f>HYPERLINK("https://www.somogyi.hu/product/home-sw-0-8-250-forrasztoon-0-8mm-250g-europai-gyartotol-szarmazo-kivalo-minosegu-forrasztoon-osszetetel-sn-pb-60-40-gyanta-2-0-sw-0-8-250-4422","https://www.somogyi.hu/product/home-sw-0-8-250-forrasztoon-0-8mm-250g-europai-gyartotol-szarmazo-kivalo-minosegu-forrasztoon-osszetetel-sn-pb-60-40-gyanta-2-0-sw-0-8-250-4422")</f>
        <v>0.0</v>
      </c>
      <c r="E2025" s="7" t="n">
        <f>HYPERLINK("https://www.somogyi.hu/data/img/product_main_images/small/04422.jpg","https://www.somogyi.hu/data/img/product_main_images/small/04422.jpg")</f>
        <v>0.0</v>
      </c>
      <c r="F2025" s="2" t="inlineStr">
        <is>
          <t>5998312738849</t>
        </is>
      </c>
      <c r="G2025" s="4" t="inlineStr">
        <is>
          <t>Egy kiváló minőségű forrasztóónt keres, amely pontos és tiszta forrasztási eredményeket biztosít? A Home SW 0,8/250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250g-os kiszerelés hosszú távra elegendő anyagot biztosít, legyen szó akár hobbi elektronikai projektekről, akár professzionális felhasználásról.
A Home SW 0,8/250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0,8/250 forrasztóónt, és biztosítsa projektjei sikerét azzal, hogy a legjobb minőségű anyagokkal dolgozik.</t>
        </is>
      </c>
    </row>
    <row r="2026">
      <c r="A2026" s="3" t="inlineStr">
        <is>
          <t>SW 0,8/100</t>
        </is>
      </c>
      <c r="B2026" s="2" t="inlineStr">
        <is>
          <t>Home SW 0,8/100 forrasztóón, 0,8mm, 100g, európai gyártótól származó kiváló minőségű forrasztóón, összetétel: SN/PB: 60/40%, gyanta: 2,0%</t>
        </is>
      </c>
      <c r="C2026" s="1" t="n">
        <v>3190.0</v>
      </c>
      <c r="D2026" s="7" t="n">
        <f>HYPERLINK("https://www.somogyi.hu/product/home-sw-0-8-100-forrasztoon-0-8mm-100g-europai-gyartotol-szarmazo-kivalo-minosegu-forrasztoon-osszetetel-sn-pb-60-40-gyanta-2-0-sw-0-8-100-4421","https://www.somogyi.hu/product/home-sw-0-8-100-forrasztoon-0-8mm-100g-europai-gyartotol-szarmazo-kivalo-minosegu-forrasztoon-osszetetel-sn-pb-60-40-gyanta-2-0-sw-0-8-100-4421")</f>
        <v>0.0</v>
      </c>
      <c r="E2026" s="7" t="n">
        <f>HYPERLINK("https://www.somogyi.hu/data/img/product_main_images/small/04421.jpg","https://www.somogyi.hu/data/img/product_main_images/small/04421.jpg")</f>
        <v>0.0</v>
      </c>
      <c r="F2026" s="2" t="inlineStr">
        <is>
          <t>5998312738832</t>
        </is>
      </c>
      <c r="G2026" s="4" t="inlineStr">
        <is>
          <t>Egy kiváló minőségű forrasztóónt keres, amely pontos és tiszta forrasztási eredményeket biztosít? A Home SW 0,8/100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100g-os kiszerelés hosszú távra elegendő anyagot biztosít, legyen szó akár hobbi elektronikai projektekről, akár professzionális felhasználásról.
A Home SW 0,8/100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0,8/100 forrasztóónt, és biztosítsa projektjei sikerét azzal, hogy a legjobb minőségű anyagokkal dolgozik.</t>
        </is>
      </c>
    </row>
    <row r="2027">
      <c r="A2027" s="3" t="inlineStr">
        <is>
          <t>SW 3/250</t>
        </is>
      </c>
      <c r="B2027" s="2" t="inlineStr">
        <is>
          <t>Home SW 3/250 forrasztóón, 3mm, 250g, európai gyártótól származó kiváló minőségű forrasztóón, összetétel: SN/PB: 60/40%, gyanta: 2,0%</t>
        </is>
      </c>
      <c r="C2027" s="1" t="n">
        <v>7190.0</v>
      </c>
      <c r="D2027" s="7" t="n">
        <f>HYPERLINK("https://www.somogyi.hu/product/home-sw-3-250-forrasztoon-3mm-250g-europai-gyartotol-szarmazo-kivalo-minosegu-forrasztoon-osszetetel-sn-pb-60-40-gyanta-2-0-sw-3-250-7721","https://www.somogyi.hu/product/home-sw-3-250-forrasztoon-3mm-250g-europai-gyartotol-szarmazo-kivalo-minosegu-forrasztoon-osszetetel-sn-pb-60-40-gyanta-2-0-sw-3-250-7721")</f>
        <v>0.0</v>
      </c>
      <c r="E2027" s="7" t="n">
        <f>HYPERLINK("https://www.somogyi.hu/data/img/product_main_images/small/07721.jpg","https://www.somogyi.hu/data/img/product_main_images/small/07721.jpg")</f>
        <v>0.0</v>
      </c>
      <c r="F2027" s="2" t="inlineStr">
        <is>
          <t>5998312766835</t>
        </is>
      </c>
      <c r="G2027" s="4" t="inlineStr">
        <is>
          <t>Egy kiváló minőségű forrasztóónt keres, amely pontos és tiszta forrasztási eredményeket biztosít? A Home SW 3/250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3 mm-es átmérő lehetővé teszi a precíz munkavégzést, még a legfinomabb forrasztási pontok esetén is. A 250g-os kiszerelés hosszú távra elegendő anyagot biztosít, legyen szó akár hobbi elektronikai projektekről, akár professzionális felhasználásról.
A Home SW 3/250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3/250 forrasztóónt, és biztosítsa projektjei sikerét azzal, hogy a legjobb minőségű anyagokkal dolgozik.</t>
        </is>
      </c>
    </row>
    <row r="2028">
      <c r="A2028" s="3" t="inlineStr">
        <is>
          <t>SW 2/500</t>
        </is>
      </c>
      <c r="B2028" s="2" t="inlineStr">
        <is>
          <t>Home SW 2/500 forrasztóón, 2mm, 500g, európai gyártótól származó kiváló minőségű forrasztóón, összetétel: SN/PB: 60/40%, gyanta: 2,0%</t>
        </is>
      </c>
      <c r="C2028" s="1" t="n">
        <v>14090.0</v>
      </c>
      <c r="D2028" s="7" t="n">
        <f>HYPERLINK("https://www.somogyi.hu/product/home-sw-2-500-forrasztoon-2mm-500g-europai-gyartotol-szarmazo-kivalo-minosegu-forrasztoon-osszetetel-sn-pb-60-40-gyanta-2-0-sw-2-500-7514","https://www.somogyi.hu/product/home-sw-2-500-forrasztoon-2mm-500g-europai-gyartotol-szarmazo-kivalo-minosegu-forrasztoon-osszetetel-sn-pb-60-40-gyanta-2-0-sw-2-500-7514")</f>
        <v>0.0</v>
      </c>
      <c r="E2028" s="7" t="n">
        <f>HYPERLINK("https://www.somogyi.hu/data/img/product_main_images/small/07514.jpg","https://www.somogyi.hu/data/img/product_main_images/small/07514.jpg")</f>
        <v>0.0</v>
      </c>
      <c r="F2028" s="2" t="inlineStr">
        <is>
          <t>5998312764985</t>
        </is>
      </c>
      <c r="G2028" s="4" t="inlineStr">
        <is>
          <t>Egy kiváló minőségű forrasztóónt keres, amely pontos és tiszta forrasztási eredményeket biztosít? A Home SW 2/500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500g-os kiszerelés hosszú távra elegendő anyagot biztosít, legyen szó akár hobbi elektronikai projektekről, akár professzionális felhasználásról.
A Home SW 2/500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2/500 forrasztóónt, és biztosítsa projektjei sikerét azzal, hogy a legjobb minőségű anyagokkal dolgozik.</t>
        </is>
      </c>
    </row>
    <row r="2029">
      <c r="A2029" s="3" t="inlineStr">
        <is>
          <t>SWCU 1/100</t>
        </is>
      </c>
      <c r="B2029" s="2" t="inlineStr">
        <is>
          <t>Home SWCU 1/100 forrasztóón 1mm, 100g, európai gyártótól származó kiváló minőségű forrasztóón, összetétel: SN/PB: 60/40%, gyanta: 2,0%</t>
        </is>
      </c>
      <c r="C2029" s="1" t="n">
        <v>4590.0</v>
      </c>
      <c r="D2029" s="7" t="n">
        <f>HYPERLINK("https://www.somogyi.hu/product/home-swcu-1-100-forrasztoon-1mm-100g-europai-gyartotol-szarmazo-kivalo-minosegu-forrasztoon-osszetetel-sn-pb-60-40-gyanta-2-0-swcu-1-100-17371","https://www.somogyi.hu/product/home-swcu-1-100-forrasztoon-1mm-100g-europai-gyartotol-szarmazo-kivalo-minosegu-forrasztoon-osszetetel-sn-pb-60-40-gyanta-2-0-swcu-1-100-17371")</f>
        <v>0.0</v>
      </c>
      <c r="E2029" s="7" t="n">
        <f>HYPERLINK("https://www.somogyi.hu/data/img/product_main_images/small/17371.jpg","https://www.somogyi.hu/data/img/product_main_images/small/17371.jpg")</f>
        <v>0.0</v>
      </c>
      <c r="F2029" s="2" t="inlineStr">
        <is>
          <t>5999084953935</t>
        </is>
      </c>
      <c r="G2029" s="4" t="inlineStr">
        <is>
          <t>Keresi az ideális forrasztóónt, amely ólommentes és mégis rendkívül hatékony minden forrasztási feladatban? A Home SWCU 1/100 forrasztóón tökéletes választás azok számára, akik értékelik a környezetbarát megoldásokat, miközben nem akarnak kompromisszumot kötni a forrasztási minőség terén.
Ez a kiváló minőségű, 1 mm átmérőjű forrasztóón Sn/Cu ötvözetből készült, 99,3% ón és 0,7% réz arányban, biztosítva a jó forrasztási tulajdonságokat és a hosszú távú megbízhatóságot. A 2,5% gyanta tartalom garantálja, hogy a forrasztás során a fém könnyedén terjed és egyenletesen tapad, miközben a 230 - 250 °C közötti olvadáspont optimális hőmérsékletet kínál a legtöbb elektronikai forrasztási feladathoz.
A 100g-os nettó súlyú forrasztóón elegendő anyagot biztosít hosszabb ideig tartó projektekhez vagy több kisebb javításhoz. Az ólommentes összetétel nem csak a felhasználó, hanem a környezet számára is kedvezőbb választás, így ideális azok számára, akik fenntartható és biztonságos forrasztási megoldásokat keresnek.
Válassza a Home SWCU 1/100 forrasztóónt, és élvezze az ólommentes forrasztás minden előnyét anélkül, hogy feláldozná a minőséget vagy a megbízhatóságot.</t>
        </is>
      </c>
    </row>
    <row r="2030">
      <c r="A2030" s="3" t="inlineStr">
        <is>
          <t>TS 570/40</t>
        </is>
      </c>
      <c r="B2030" s="2" t="inlineStr">
        <is>
          <t>Home TS 570/40 forrasztókrém, savmentes erős tisztító és folyósító szer ipari lágyforrasztási munkákhoz, réz, ón, acél és saválló acél lágyforrasztásánál, 40ml</t>
        </is>
      </c>
      <c r="C2030" s="1" t="n">
        <v>1550.0</v>
      </c>
      <c r="D2030" s="7" t="n">
        <f>HYPERLINK("https://www.somogyi.hu/product/home-ts-570-40-forrasztokrem-savmentes-eros-tisztito-es-folyosito-szer-ipari-lagyforrasztasi-munkakhoz-rez-on-acel-es-savallo-acel-lagyforrasztasanal-40ml-ts-570-40-18274","https://www.somogyi.hu/product/home-ts-570-40-forrasztokrem-savmentes-eros-tisztito-es-folyosito-szer-ipari-lagyforrasztasi-munkakhoz-rez-on-acel-es-savallo-acel-lagyforrasztasanal-40ml-ts-570-40-18274")</f>
        <v>0.0</v>
      </c>
      <c r="E2030" s="7" t="n">
        <f>HYPERLINK("https://www.somogyi.hu/data/img/product_main_images/small/18274.jpg","https://www.somogyi.hu/data/img/product_main_images/small/18274.jpg")</f>
        <v>0.0</v>
      </c>
      <c r="F2030" s="2" t="inlineStr">
        <is>
          <t>5997539300662</t>
        </is>
      </c>
      <c r="G2030" s="4" t="inlineStr">
        <is>
          <t>Az ipari lágyforrasztási munkák egyik elengedhetetlen kelléke a forrasztókrém! Vásárlás előtt feltétlenül győződjön meg, hogy a magas színvonalú eredmény érdekében valóban a legjobb minőséget választotta-e!
Nálunk garantáltan jól jár! A TS 570 forrasztókrém 40 ml-es kivitelben kapható, amely egy savmentes erős tisztító és folyósító szer. A termék bátran használható réz, ón, acél és saválló acél lágyforrasztásánál. Válassza a minőségi termékeket és rendeljen webáruházunkból.</t>
        </is>
      </c>
    </row>
    <row r="2031">
      <c r="A2031" s="3" t="inlineStr">
        <is>
          <t>SW 1,5/500</t>
        </is>
      </c>
      <c r="B2031" s="2" t="inlineStr">
        <is>
          <t>Home SW 1,5/500 forrasztóón, 1,5mm, 500g, európai gyártótól származó kiváló minőségű forrasztóón, összetétel: SN/PB: 60/40%, gyanta: 2,0%</t>
        </is>
      </c>
      <c r="C2031" s="1" t="n">
        <v>14090.0</v>
      </c>
      <c r="D2031" s="7" t="n">
        <f>HYPERLINK("https://www.somogyi.hu/product/home-sw-1-5-500-forrasztoon-1-5mm-500g-europai-gyartotol-szarmazo-kivalo-minosegu-forrasztoon-osszetetel-sn-pb-60-40-gyanta-2-0-sw-1-5-500-4430","https://www.somogyi.hu/product/home-sw-1-5-500-forrasztoon-1-5mm-500g-europai-gyartotol-szarmazo-kivalo-minosegu-forrasztoon-osszetetel-sn-pb-60-40-gyanta-2-0-sw-1-5-500-4430")</f>
        <v>0.0</v>
      </c>
      <c r="E2031" s="7" t="n">
        <f>HYPERLINK("https://www.somogyi.hu/data/img/product_main_images/small/04430.jpg","https://www.somogyi.hu/data/img/product_main_images/small/04430.jpg")</f>
        <v>0.0</v>
      </c>
      <c r="F2031" s="2" t="inlineStr">
        <is>
          <t>5998312738924</t>
        </is>
      </c>
      <c r="G2031" s="4" t="inlineStr">
        <is>
          <t>Egy kiváló minőségű forrasztóónt keres, amely pontos és tiszta forrasztási eredményeket biztosít? A Home SW 1,5/500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500g-os kiszerelés hosszú távra elegendő anyagot biztosít, legyen szó akár hobbi elektronikai projektekről, akár professzionális felhasználásról.
A Home SW 1,5/500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1,5/500 forrasztóónt, és biztosítsa projektjei sikerét azzal, hogy a legjobb minőségű anyagokkal dolgozik.</t>
        </is>
      </c>
    </row>
    <row r="2032">
      <c r="A2032" s="3" t="inlineStr">
        <is>
          <t>SWCU 1/17</t>
        </is>
      </c>
      <c r="B2032" s="2" t="inlineStr">
        <is>
          <t>Home SWCU 1/17 forrasztóóntoll, átmérő 1mm, Sn/Cu: 97,3%/0,5%, gyanta: 2,2 %, nettó súly: 17 g, méret:∅17x91mm, ólommentes!</t>
        </is>
      </c>
      <c r="C2032" s="1" t="n">
        <v>1350.0</v>
      </c>
      <c r="D2032" s="7" t="n">
        <f>HYPERLINK("https://www.somogyi.hu/product/home-swcu-1-17-forrasztoontoll-atmero-1mm-sn-cu-97-3-0-5-gyanta-2-2-netto-suly-17-g-meret-17x91mm-olommentes-swcu-1-17-6955","https://www.somogyi.hu/product/home-swcu-1-17-forrasztoontoll-atmero-1mm-sn-cu-97-3-0-5-gyanta-2-2-netto-suly-17-g-meret-17x91mm-olommentes-swcu-1-17-6955")</f>
        <v>0.0</v>
      </c>
      <c r="E2032" s="7" t="n">
        <f>HYPERLINK("https://www.somogyi.hu/data/img/product_main_images/small/06955.jpg","https://www.somogyi.hu/data/img/product_main_images/small/06955.jpg")</f>
        <v>0.0</v>
      </c>
      <c r="F2032" s="2" t="inlineStr">
        <is>
          <t>5998312759684</t>
        </is>
      </c>
      <c r="G2032" s="4" t="inlineStr">
        <is>
          <t>Egy egyszerűen használható, pontos forrasztási megoldást keres apró elektronikai munkákhoz? A Home SWCU 1/17 forrasztóóntoll az ideális eszköz azok számára, akik a forrasztóón precíz, gyors és tiszta adagolását szeretnék elérni, kényelmes toll formátumban.
Ez a forradalmi forrasztóóntoll egy adagolós házban kínálja a kiváló minőségű, ólommentes forrasztóónt, amelynek átmérője 1 mm. A Sn/Cu ötvözet 97,3% ónt és 0,5% rézt tartalmaz, a 2,2% gyanta pedig biztosítja az optimális folyékonyságot és tapadást minden egyes forrasztásnál. A 17 g nettó súly elegendő anyagot biztosít számos projekthez, míg a kompakt méret (∅17x91mm) lehetővé teszi, hogy a forrasztóóntollat bárhol magával vihesse.
A Home SWCU 1/17 forrasztóóntoll különösen hasznos finom elektronikai javításokhoz, ahol a pontosság és az adagolás ellenőrzése kulcsfontosságú. Az ólommentes összetétel nem csak a felhasználó egészségét védi, hanem összhangban van a környezetvédelmi előírásokkal is, így etikus és biztonságos választás minden szerelési munkához.
Váltson a Home SWCU 1/17 forrasztóóntollra, és élvezze a forrasztási munkákban rejlő kényelmet és pontosságot.</t>
        </is>
      </c>
    </row>
    <row r="2033">
      <c r="A2033" s="3" t="inlineStr">
        <is>
          <t>TS 580</t>
        </is>
      </c>
      <c r="B2033" s="2" t="inlineStr">
        <is>
          <t>Home TS 580 hővezető paszta, elektromosan szigetelő, 200 °C-ig hőálló, nem gyantásodó, 0,24-0,42 W/mK vezetőképességű hőátadó paszta, 25g</t>
        </is>
      </c>
      <c r="C2033" s="1" t="n">
        <v>1550.0</v>
      </c>
      <c r="D2033" s="7" t="n">
        <f>HYPERLINK("https://www.somogyi.hu/product/home-ts-580-hovezeto-paszta-elektromosan-szigetelo-200-c-ig-hoallo-nem-gyantasodo-0-24-0-42-w-mk-vezetokepessegu-hoatado-paszta-25g-ts-580-2321","https://www.somogyi.hu/product/home-ts-580-hovezeto-paszta-elektromosan-szigetelo-200-c-ig-hoallo-nem-gyantasodo-0-24-0-42-w-mk-vezetokepessegu-hoatado-paszta-25g-ts-580-2321")</f>
        <v>0.0</v>
      </c>
      <c r="E2033" s="7" t="n">
        <f>HYPERLINK("https://www.somogyi.hu/data/img/product_main_images/small/02321.jpg","https://www.somogyi.hu/data/img/product_main_images/small/02321.jpg")</f>
        <v>0.0</v>
      </c>
      <c r="F2033" s="2" t="inlineStr">
        <is>
          <t>5998312725887</t>
        </is>
      </c>
      <c r="G2033" s="4" t="inlineStr">
        <is>
          <t>A tökéletes hővezető megoldást keresi forrasztási projektjeihez? A Home TS 580 hővezető paszta, kifejezetten forrasztásokhoz tervezve, elektromosan szigetelő jellemzőivel és kivételes hőállóságával biztosítja, hogy elektronikai alkotásai hosszú távon megőrizzék integritásukat és teljesítményüket.
Ez a speciális paszta nem csak azért kiemelkedő, mert 200 °C-ig őrzi meg tulajdonságait, hanem azért is, mert nem gyantásodik meg idővel, így garantálva a hosszantartó hatékonyságot és megbízhatóságot. A 0,24-0,42 W/mK közötti hővezetőképesség biztosítja, hogy a forrasztott alkatrészek közötti hő gyorsan és egyenletesen eloszlik, megelőzve ezzel a hő okozta károsodást és növelve az eszközök élettartamát.
A Home TS 580 hővezető paszta ideális választás azok számára, akik precíz és megbízható megoldást keresnek az elektronikai forrasztásokhoz. Akár hobbielektronikus, akár profi technikus, ez a paszta kiválóan integrálódik a munkafolyamatába, segítve a hatékony hőkezelést.
Válassza a Home TS 580 hővezető pasztát, és biztosítsa elektronikai projektjeinek a legjobb hővédelmet.</t>
        </is>
      </c>
    </row>
    <row r="2034">
      <c r="A2034" s="3" t="inlineStr">
        <is>
          <t>SW 0,8/500</t>
        </is>
      </c>
      <c r="B2034" s="2" t="inlineStr">
        <is>
          <t>Home SW 0,8/500 forrasztóón, 0,8mm, 500g, európai gyártótól származó kiváló minőségű forrasztóón, összetétel: SN/PB: 60/40%, gyanta: 2,0%</t>
        </is>
      </c>
      <c r="C2034" s="1" t="n">
        <v>14490.0</v>
      </c>
      <c r="D2034" s="7" t="n">
        <f>HYPERLINK("https://www.somogyi.hu/product/home-sw-0-8-500-forrasztoon-0-8mm-500g-europai-gyartotol-szarmazo-kivalo-minosegu-forrasztoon-osszetetel-sn-pb-60-40-gyanta-2-0-sw-0-8-500-4423","https://www.somogyi.hu/product/home-sw-0-8-500-forrasztoon-0-8mm-500g-europai-gyartotol-szarmazo-kivalo-minosegu-forrasztoon-osszetetel-sn-pb-60-40-gyanta-2-0-sw-0-8-500-4423")</f>
        <v>0.0</v>
      </c>
      <c r="E2034" s="7" t="n">
        <f>HYPERLINK("https://www.somogyi.hu/data/img/product_main_images/small/04423.jpg","https://www.somogyi.hu/data/img/product_main_images/small/04423.jpg")</f>
        <v>0.0</v>
      </c>
      <c r="F2034" s="2" t="inlineStr">
        <is>
          <t>5998312738856</t>
        </is>
      </c>
      <c r="G2034" s="4" t="inlineStr">
        <is>
          <t>Egy kiváló minőségű forrasztóónt keres, amely pontos és tiszta forrasztási eredményeket biztosít? A Home SW 0,8/500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500g-os kiszerelés hosszú távra elegendő anyagot biztosít, legyen szó akár hobbi elektronikai projektekről, akár professzionális felhasználásról.
A Home SW 0,8/500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0,8/500 forrasztóónt, és biztosítsa projektjei sikerét azzal, hogy a legjobb minőségű anyagokkal dolgozik.</t>
        </is>
      </c>
    </row>
    <row r="2035">
      <c r="A2035" s="3" t="inlineStr">
        <is>
          <t>SW 1/500</t>
        </is>
      </c>
      <c r="B2035" s="2" t="inlineStr">
        <is>
          <t>Home SW 1/500 forrasztóón, 1mm, 500g, európai gyártótól származó kiváló minőségű forrasztóón, összetétel: SN/PB: 60/40%, gyanta: 2,0%</t>
        </is>
      </c>
      <c r="C2035" s="1" t="n">
        <v>14090.0</v>
      </c>
      <c r="D2035" s="7" t="n">
        <f>HYPERLINK("https://www.somogyi.hu/product/home-sw-1-500-forrasztoon-1mm-500g-europai-gyartotol-szarmazo-kivalo-minosegu-forrasztoon-osszetetel-sn-pb-60-40-gyanta-2-0-sw-1-500-4426","https://www.somogyi.hu/product/home-sw-1-500-forrasztoon-1mm-500g-europai-gyartotol-szarmazo-kivalo-minosegu-forrasztoon-osszetetel-sn-pb-60-40-gyanta-2-0-sw-1-500-4426")</f>
        <v>0.0</v>
      </c>
      <c r="E2035" s="7" t="n">
        <f>HYPERLINK("https://www.somogyi.hu/data/img/product_main_images/small/04426.jpg","https://www.somogyi.hu/data/img/product_main_images/small/04426.jpg")</f>
        <v>0.0</v>
      </c>
      <c r="F2035" s="2" t="inlineStr">
        <is>
          <t>5998312738887</t>
        </is>
      </c>
      <c r="G2035" s="4" t="inlineStr">
        <is>
          <t>Egy kiváló minőségű forrasztóónt keres, amely pontos és tiszta forrasztási eredményeket biztosít? A Home SW 1/500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500g-os kiszerelés hosszú távra elegendő anyagot biztosít, legyen szó akár hobbi elektronikai projektekről, akár professzionális felhasználásról.
A Home SW 1/500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1/500 forrasztóónt, és biztosítsa projektjei sikerét azzal, hogy a legjobb minőségű anyagokkal dolgozik.</t>
        </is>
      </c>
    </row>
    <row r="2036">
      <c r="A2036" s="3" t="inlineStr">
        <is>
          <t>SW 0,5/250</t>
        </is>
      </c>
      <c r="B2036" s="2" t="inlineStr">
        <is>
          <t>Home SW 0,5/250 forrasztóón, 0,5mm, 250g, európai gyártótól származó kiváló minőségű forrasztóón, összetétel: SN/PB: 60/40%, gyanta: 2,0%</t>
        </is>
      </c>
      <c r="C2036" s="1" t="n">
        <v>14190.0</v>
      </c>
      <c r="D2036" s="7" t="n">
        <f>HYPERLINK("https://www.somogyi.hu/product/home-sw-0-5-250-forrasztoon-0-5mm-250g-europai-gyartotol-szarmazo-kivalo-minosegu-forrasztoon-osszetetel-sn-pb-60-40-gyanta-2-0-sw-0-5-250-4431","https://www.somogyi.hu/product/home-sw-0-5-250-forrasztoon-0-5mm-250g-europai-gyartotol-szarmazo-kivalo-minosegu-forrasztoon-osszetetel-sn-pb-60-40-gyanta-2-0-sw-0-5-250-4431")</f>
        <v>0.0</v>
      </c>
      <c r="E2036" s="7" t="n">
        <f>HYPERLINK("https://www.somogyi.hu/data/img/product_main_images/small/04431.jpg","https://www.somogyi.hu/data/img/product_main_images/small/04431.jpg")</f>
        <v>0.0</v>
      </c>
      <c r="F2036" s="2" t="inlineStr">
        <is>
          <t>5998312738931</t>
        </is>
      </c>
      <c r="G2036" s="4" t="inlineStr">
        <is>
          <t>Egy kiváló minőségű forrasztóónt keres, amely pontos és tiszta forrasztási eredményeket biztosít? A Home SW 0,5/250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0,5 mm-es átmérő lehetővé teszi a precíz munkavégzést, még a legfinomabb forrasztási pontok esetén is. A 250g-os kiszerelés hosszú távra elegendő anyagot biztosít, legyen szó akár hobbi elektronikai projektekről, akár professzionális felhasználásról.
A Home SW 0,5/250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0,5/250 forrasztóónt, és biztosítsa projektjei sikerét azzal, hogy a legjobb minőségű anyagokkal dolgozik.</t>
        </is>
      </c>
    </row>
    <row r="2037">
      <c r="A2037" s="3" t="inlineStr">
        <is>
          <t>SW 2/100</t>
        </is>
      </c>
      <c r="B2037" s="2" t="inlineStr">
        <is>
          <t>Home SW 2/100 forrasztóón, 2mm, 100g, európai gyártótól származó kiváló minőségű forrasztóón, összetétel: SN/PB: 60/40%, gyanta: 2,0%</t>
        </is>
      </c>
      <c r="C2037" s="1" t="n">
        <v>3190.0</v>
      </c>
      <c r="D2037" s="7" t="n">
        <f>HYPERLINK("https://www.somogyi.hu/product/home-sw-2-100-forrasztoon-2mm-100g-europai-gyartotol-szarmazo-kivalo-minosegu-forrasztoon-osszetetel-sn-pb-60-40-gyanta-2-0-sw-2-100-7512","https://www.somogyi.hu/product/home-sw-2-100-forrasztoon-2mm-100g-europai-gyartotol-szarmazo-kivalo-minosegu-forrasztoon-osszetetel-sn-pb-60-40-gyanta-2-0-sw-2-100-7512")</f>
        <v>0.0</v>
      </c>
      <c r="E2037" s="7" t="n">
        <f>HYPERLINK("https://www.somogyi.hu/data/img/product_main_images/small/07512.jpg","https://www.somogyi.hu/data/img/product_main_images/small/07512.jpg")</f>
        <v>0.0</v>
      </c>
      <c r="F2037" s="2" t="inlineStr">
        <is>
          <t>5998312764961</t>
        </is>
      </c>
      <c r="G2037" s="4" t="inlineStr">
        <is>
          <t>Egy kiváló minőségű forrasztóónt keres, amely pontos és tiszta forrasztási eredményeket biztosít? A Home SW 2/100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100g-os kiszerelés hosszú távra elegendő anyagot biztosít, legyen szó akár hobbi elektronikai projektekről, akár professzionális felhasználásról.
A Home SW 2/100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2/100 forrasztóónt, és biztosítsa projektjei sikerét azzal, hogy a legjobb minőségű anyagokkal dolgozik.</t>
        </is>
      </c>
    </row>
    <row r="2038">
      <c r="A2038" s="3" t="inlineStr">
        <is>
          <t>TS 500/30</t>
        </is>
      </c>
      <c r="B2038" s="2" t="inlineStr">
        <is>
          <t>Home TS 500/30 forrasztógyanta, 30 g, lágyító adalékot tartalmazónfolyósító gyanta, finom elektronikai forrasztási munkákhoz, savmentes</t>
        </is>
      </c>
      <c r="C2038" s="1" t="n">
        <v>1690.0</v>
      </c>
      <c r="D2038" s="7" t="n">
        <f>HYPERLINK("https://www.somogyi.hu/product/home-ts-500-30-forrasztogyanta-30-g-lagyito-adalekot-tartalmazonfolyosito-gyanta-finom-elektronikai-forrasztasi-munkakhoz-savmentes-ts-500-30-18273","https://www.somogyi.hu/product/home-ts-500-30-forrasztogyanta-30-g-lagyito-adalekot-tartalmazonfolyosito-gyanta-finom-elektronikai-forrasztasi-munkakhoz-savmentes-ts-500-30-18273")</f>
        <v>0.0</v>
      </c>
      <c r="E2038" s="7" t="n">
        <f>HYPERLINK("https://www.somogyi.hu/data/img/product_main_images/small/18273.jpg","https://www.somogyi.hu/data/img/product_main_images/small/18273.jpg")</f>
        <v>0.0</v>
      </c>
      <c r="F2038" s="2" t="inlineStr">
        <is>
          <t>5997539300655</t>
        </is>
      </c>
      <c r="G2038" s="4" t="inlineStr">
        <is>
          <t>Az elektronikai forrasztási munkák egyik elengedhetetlen kelléke a forrasztógyanta! Vásárlás előtt feltétlenül győződjön meg, hogy a magas színvonalú eredmény érdekében valóban a legjobb minőséget választotta-e!
Nálunk garantáltan jól jár! A TS 500 forrasztógyanta 30 g-os kivitelben kapható, amely egy lágyító adalékot tartalmazó folyósító gyanta. Előnye, hogy savmentes, ennek köszönhetően a felületen visszamaradva korróziót nem okoz. Válassza a minőségi termékeket és rendeljen webáruházunkból.</t>
        </is>
      </c>
    </row>
    <row r="2039">
      <c r="A2039" s="6" t="inlineStr">
        <is>
          <t xml:space="preserve">   Mérés, szerszám, forrasztás / Ragasztópiszoly, ragasztórúd</t>
        </is>
      </c>
      <c r="B2039" s="6" t="inlineStr">
        <is>
          <t/>
        </is>
      </c>
      <c r="C2039" s="6" t="inlineStr">
        <is>
          <t/>
        </is>
      </c>
      <c r="D2039" s="6" t="inlineStr">
        <is>
          <t/>
        </is>
      </c>
      <c r="E2039" s="6" t="inlineStr">
        <is>
          <t/>
        </is>
      </c>
      <c r="F2039" s="6" t="inlineStr">
        <is>
          <t/>
        </is>
      </c>
      <c r="G2039" s="6" t="inlineStr">
        <is>
          <t/>
        </is>
      </c>
    </row>
    <row r="2040">
      <c r="A2040" s="3" t="inlineStr">
        <is>
          <t>SMA 005</t>
        </is>
      </c>
      <c r="B2040" s="2" t="inlineStr">
        <is>
          <t>Home SMA 005 ragasztópisztoly, mini kivitel, 10 (30) W / 230 V~ / 50 Hz, gyors, pontos ragasztás, kihajtható asztali támaszték, 2 db ajándék ragasztórúd</t>
        </is>
      </c>
      <c r="C2040" s="1" t="n">
        <v>1750.0</v>
      </c>
      <c r="D2040" s="7" t="n">
        <f>HYPERLINK("https://www.somogyi.hu/product/home-sma-005-ragasztopisztoly-mini-kivitel-10-30-w-230-v-50-hz-gyors-pontos-ragasztas-kihajthato-asztali-tamasztek-2-db-ajandek-ragasztorud-sma-005-6703","https://www.somogyi.hu/product/home-sma-005-ragasztopisztoly-mini-kivitel-10-30-w-230-v-50-hz-gyors-pontos-ragasztas-kihajthato-asztali-tamasztek-2-db-ajandek-ragasztorud-sma-005-6703")</f>
        <v>0.0</v>
      </c>
      <c r="E2040" s="7" t="n">
        <f>HYPERLINK("https://www.somogyi.hu/data/img/product_main_images/small/06703.jpg","https://www.somogyi.hu/data/img/product_main_images/small/06703.jpg")</f>
        <v>0.0</v>
      </c>
      <c r="F2040" s="2" t="inlineStr">
        <is>
          <t>5998312757390</t>
        </is>
      </c>
      <c r="G2040" s="4" t="inlineStr">
        <is>
          <t>Egy kis méretű, mégis erőteljes ragasztópisztolyt keres a precíz és gyors munkavégzéshez? A Home SMA 005 ragasztópisztoly a tökéletes társ minden kreatív projektben és otthoni javításban.
Ez a mini ragasztópisztoly 10 (30) W / 230 V~ / 50 Hz teljesítménnyel rendelkezik, így gyorsan felmelegszik és készen áll a használatra, amikor Önnek szüksége van rá.
A gyors, pontos ragasztást és az 1 perces száradási időt biztosító SMA 005 tökéletes választás azok számára, akik nem szeretnék hosszú időt várni a projektjeik befejezésével. A kihajtható asztali támaszték tovább növeli a kényelmet és biztonságot a használat során, lehetővé téve a pisztoly stabil elhelyezését munkavégzés közben.
Minden Home SMA 005 ragasztópisztolyhoz 2 db ajándék ragasztórúd jár, így azonnal kezdheti a munkát a készülék megérkezésekor. Az ajánlott SMA 005T ragasztórudak használata biztosítja a legjobb teljesítményt és az eredmények hosszú távú tartósságát.
Ne hagyja, hogy a nagyméretű ragasztópisztolyok nehezítsék munkáját; válassza a Home SMA 005 mini ragasztópisztolyt a könnyed, gyors és pontos ragasztás érdekében.</t>
        </is>
      </c>
    </row>
    <row r="2041">
      <c r="A2041" s="3" t="inlineStr">
        <is>
          <t>SMA 067T</t>
        </is>
      </c>
      <c r="B2041" s="2" t="inlineStr">
        <is>
          <t>Home SMA 067T ragasztórúd, ∅11mmx100mm, 10dbx11g, SMA 008, SMA 007, SMA 006, GK-380B ragasztópisztolyhoz</t>
        </is>
      </c>
      <c r="C2041" s="1" t="n">
        <v>1090.0</v>
      </c>
      <c r="D2041" s="7" t="n">
        <f>HYPERLINK("https://www.somogyi.hu/product/home-sma-067t-ragasztorud-11mmx100mm-10dbx11g-sma-008-sma-007-sma-006-gk-380b-ragasztopisztolyhoz-sma-067t-6707","https://www.somogyi.hu/product/home-sma-067t-ragasztorud-11mmx100mm-10dbx11g-sma-008-sma-007-sma-006-gk-380b-ragasztopisztolyhoz-sma-067t-6707")</f>
        <v>0.0</v>
      </c>
      <c r="E2041" s="7" t="n">
        <f>HYPERLINK("https://www.somogyi.hu/data/img/product_main_images/small/06707.jpg","https://www.somogyi.hu/data/img/product_main_images/small/06707.jpg")</f>
        <v>0.0</v>
      </c>
      <c r="F2041" s="2" t="inlineStr">
        <is>
          <t>5998312757437</t>
        </is>
      </c>
      <c r="G2041" s="4" t="inlineStr">
        <is>
          <t>A ragasztópisztollyal történő munkálatok során gyakran jól jöhet, ha van nálunk egy tartalék csomag ragasztórúd. Ebben az esetben is érdemes a minőséget keresni, hogy valóban a legmagasabb színvonalú eredményt kapjuk meg.
Az SMA 067T alkalmazható a GK-380B, SMA 008, SMA 007 és SMA 006 ragasztópisztolyokhoz. Mérete: ∅11 mm x 100 mm. Kiszerelés: 10 db x 11 g. Válassza a minőségi termékeket és rendeljen webáruházunkból.</t>
        </is>
      </c>
    </row>
    <row r="2042">
      <c r="A2042" s="3" t="inlineStr">
        <is>
          <t>SMA 005T</t>
        </is>
      </c>
      <c r="B2042" s="2" t="inlineStr">
        <is>
          <t>Home SMA 005T ragasztórúd, -∅7mmx100mm -20dbx4,5g, SMA 005 és SMA 009 ragasztópisztolyhoz, 20db/csomag</t>
        </is>
      </c>
      <c r="C2042" s="1" t="n">
        <v>1150.0</v>
      </c>
      <c r="D2042" s="7" t="n">
        <f>HYPERLINK("https://www.somogyi.hu/product/home-sma-005t-ragasztorud-7mmx100mm-20dbx4-5g-sma-005-es-sma-009-ragasztopisztolyhoz-20db-csomag-sma-005t-6706","https://www.somogyi.hu/product/home-sma-005t-ragasztorud-7mmx100mm-20dbx4-5g-sma-005-es-sma-009-ragasztopisztolyhoz-20db-csomag-sma-005t-6706")</f>
        <v>0.0</v>
      </c>
      <c r="E2042" s="7" t="n">
        <f>HYPERLINK("https://www.somogyi.hu/data/img/product_main_images/small/06706.jpg","https://www.somogyi.hu/data/img/product_main_images/small/06706.jpg")</f>
        <v>0.0</v>
      </c>
      <c r="F2042" s="2" t="inlineStr">
        <is>
          <t>5998312757420</t>
        </is>
      </c>
      <c r="G2042" s="4" t="inlineStr">
        <is>
          <t>Gondolt már arra, hogy mennyire fontos a megfelelő ragasztórúd kiválasztása kreatív projektjeihez vagy a hétköznapi javításokhoz? A Home SMA 005T ragasztórúd az ideális választás, ha pontos és tartós kötést szeretne elérni. 
Ezek a ragasztórudak ∅7mm átmérőjűek és 100mm hosszúak, minden csomag 20 darab 4,5g-os rudat tartalmaz, így biztosítva, hogy elegendő anyaggal rendelkezzen a munkájához.
A Home SMA 005 és SMA 009 ragasztópisztoly és ezekkel kompatibilis modellekhez tervezték, így optimális teljesítményt biztosítanak minden használatkor. Akár otthoni javításról, akár művészeti és kézműves projektjeiről van szó, ezek a ragasztórudak kiváló minőségű kötést eredményeznek, gyorsan száradnak és erős tartást biztosítanak.
Ne hagyja, hogy a gyenge minőségű ragasztórudak tönkretegyék projektjeit! Válassza a Home SMA 005T ragasztórudakat a megbízható és hosszantartó eredményekért.</t>
        </is>
      </c>
    </row>
    <row r="2043">
      <c r="A2043" s="3" t="inlineStr">
        <is>
          <t>SMA 007</t>
        </is>
      </c>
      <c r="B2043" s="2" t="inlineStr">
        <is>
          <t>Home SMA 007 ragasztópisztoly, -25 (100) W / 230V~/ 50Hz, gyors, pontos ragasztás, kihajtható asztali támaszték, 2 db ajándék ragasztórúd</t>
        </is>
      </c>
      <c r="C2043" s="1" t="n">
        <v>3290.0</v>
      </c>
      <c r="D2043" s="7" t="n">
        <f>HYPERLINK("https://www.somogyi.hu/product/home-sma-007-ragasztopisztoly-25-100-w-230v-50hz-gyors-pontos-ragasztas-kihajthato-asztali-tamasztek-2-db-ajandek-ragasztorud-sma-007-6705","https://www.somogyi.hu/product/home-sma-007-ragasztopisztoly-25-100-w-230v-50hz-gyors-pontos-ragasztas-kihajthato-asztali-tamasztek-2-db-ajandek-ragasztorud-sma-007-6705")</f>
        <v>0.0</v>
      </c>
      <c r="E2043" s="7" t="n">
        <f>HYPERLINK("https://www.somogyi.hu/data/img/product_main_images/small/06705.jpg","https://www.somogyi.hu/data/img/product_main_images/small/06705.jpg")</f>
        <v>0.0</v>
      </c>
      <c r="F2043" s="2" t="inlineStr">
        <is>
          <t>5998312757413</t>
        </is>
      </c>
      <c r="G2043" s="4" t="inlineStr">
        <is>
          <t>Az SMA 007 segítségével a ragasztás gyorsan és pontosan végezhető el. A termék előnye, hogy rendkívül gyors száradási idővel dolgozik (mindössze csak 1 perc!).
A könnyed kezelhetőséget elősegíti a kihajtható asztali támaszték. A termékhez ajánlott ragasztórúd: SMA 067T (a készülékhez 2 db ajándék ragasztórúd is tartozik). Felhasználhatósága: 25 (100) W / 230 V~ / 50 Hz. Válassza a minőségi termékeket és rendeljen webáruházunkból.</t>
        </is>
      </c>
    </row>
    <row r="2044">
      <c r="A2044" s="6" t="inlineStr">
        <is>
          <t xml:space="preserve">   Mérés, szerszám, forrasztás / Univerzális szike</t>
        </is>
      </c>
      <c r="B2044" s="6" t="inlineStr">
        <is>
          <t/>
        </is>
      </c>
      <c r="C2044" s="6" t="inlineStr">
        <is>
          <t/>
        </is>
      </c>
      <c r="D2044" s="6" t="inlineStr">
        <is>
          <t/>
        </is>
      </c>
      <c r="E2044" s="6" t="inlineStr">
        <is>
          <t/>
        </is>
      </c>
      <c r="F2044" s="6" t="inlineStr">
        <is>
          <t/>
        </is>
      </c>
      <c r="G2044" s="6" t="inlineStr">
        <is>
          <t/>
        </is>
      </c>
    </row>
    <row r="2045">
      <c r="A2045" s="3" t="inlineStr">
        <is>
          <t>SZKB 21</t>
        </is>
      </c>
      <c r="B2045" s="2" t="inlineStr">
        <is>
          <t>Home SZKB 21 tartalékpenge, 18 mm, 10 darabos</t>
        </is>
      </c>
      <c r="C2045" s="1" t="n">
        <v>499.0</v>
      </c>
      <c r="D2045" s="7" t="n">
        <f>HYPERLINK("https://www.somogyi.hu/product/home-szkb-21-tartalekpenge-18-mm-10-darabos-szkb-21-16572","https://www.somogyi.hu/product/home-szkb-21-tartalekpenge-18-mm-10-darabos-szkb-21-16572")</f>
        <v>0.0</v>
      </c>
      <c r="E2045" s="7" t="n">
        <f>HYPERLINK("https://www.somogyi.hu/data/img/product_main_images/small/16572.jpg","https://www.somogyi.hu/data/img/product_main_images/small/16572.jpg")</f>
        <v>0.0</v>
      </c>
      <c r="F2045" s="2" t="inlineStr">
        <is>
          <t>5999084946043</t>
        </is>
      </c>
      <c r="G2045" s="4" t="inlineStr">
        <is>
          <t xml:space="preserve"> • kompatibilitás: SZK 20, SZK 21, SZK 30, SZK 31 szikékhez 
 • penge szélessége: 18 mm</t>
        </is>
      </c>
    </row>
    <row r="2046">
      <c r="A2046" s="3" t="inlineStr">
        <is>
          <t>SZKB 9</t>
        </is>
      </c>
      <c r="B2046" s="2" t="inlineStr">
        <is>
          <t>Home SZKB 9 tartalékpenge, 9 mm, 10 darabos</t>
        </is>
      </c>
      <c r="C2046" s="1" t="n">
        <v>339.0</v>
      </c>
      <c r="D2046" s="7" t="n">
        <f>HYPERLINK("https://www.somogyi.hu/product/home-szkb-9-tartalekpenge-9-mm-10-darabos-szkb-9-16953","https://www.somogyi.hu/product/home-szkb-9-tartalekpenge-9-mm-10-darabos-szkb-9-16953")</f>
        <v>0.0</v>
      </c>
      <c r="E2046" s="7" t="n">
        <f>HYPERLINK("https://www.somogyi.hu/data/img/product_main_images/small/16953.jpg","https://www.somogyi.hu/data/img/product_main_images/small/16953.jpg")</f>
        <v>0.0</v>
      </c>
      <c r="F2046" s="2" t="inlineStr">
        <is>
          <t>5999084949853</t>
        </is>
      </c>
      <c r="G2046" s="4" t="inlineStr">
        <is>
          <t xml:space="preserve"> • kompatibilitás: SZKR 9 szikéhez 
 • penge szélessége: 9 mm</t>
        </is>
      </c>
    </row>
    <row r="2047">
      <c r="A2047" s="3" t="inlineStr">
        <is>
          <t>SZKR 9</t>
        </is>
      </c>
      <c r="B2047" s="2" t="inlineStr">
        <is>
          <t>Home SZKR 9 biztonsági rugós szike, fém pengevezető, rugós, 9 mm-es penge</t>
        </is>
      </c>
      <c r="C2047" s="1" t="n">
        <v>999.0</v>
      </c>
      <c r="D2047" s="7" t="n">
        <f>HYPERLINK("https://www.somogyi.hu/product/home-szkr-9-biztonsagi-rugos-szike-fem-pengevezeto-rugos-9-mm-es-penge-szkr-9-16946","https://www.somogyi.hu/product/home-szkr-9-biztonsagi-rugos-szike-fem-pengevezeto-rugos-9-mm-es-penge-szkr-9-16946")</f>
        <v>0.0</v>
      </c>
      <c r="E2047" s="7" t="n">
        <f>HYPERLINK("https://www.somogyi.hu/data/img/product_main_images/small/16946.jpg","https://www.somogyi.hu/data/img/product_main_images/small/16946.jpg")</f>
        <v>0.0</v>
      </c>
      <c r="F2047" s="2" t="inlineStr">
        <is>
          <t>5999084949785</t>
        </is>
      </c>
      <c r="G2047" s="4" t="inlineStr">
        <is>
          <t xml:space="preserve"> • burkolat alapanyaga: műanyag, gumírozott markolattal 
 • fém pengevezető: igen 
 • automatikus pengerögzítés: igen 
 • kompatibilitás: SZKB 9 penge 
 • penge szélessége: 9 mm 
 • egyéb: biztonsági rugós penge</t>
        </is>
      </c>
    </row>
    <row r="2048">
      <c r="A2048" s="3" t="inlineStr">
        <is>
          <t>SZK 20</t>
        </is>
      </c>
      <c r="B2048" s="2" t="inlineStr">
        <is>
          <t>Home SZK 20 szike, műanyag burkolat, 18 mm-es penge</t>
        </is>
      </c>
      <c r="C2048" s="1" t="n">
        <v>419.0</v>
      </c>
      <c r="D2048" s="7" t="n">
        <f>HYPERLINK("https://www.somogyi.hu/product/home-szk-20-szike-muanyag-burkolat-18-mm-es-penge-szk-20-6485","https://www.somogyi.hu/product/home-szk-20-szike-muanyag-burkolat-18-mm-es-penge-szk-20-6485")</f>
        <v>0.0</v>
      </c>
      <c r="E2048" s="7" t="n">
        <f>HYPERLINK("https://www.somogyi.hu/data/img/product_main_images/small/06485.jpg","https://www.somogyi.hu/data/img/product_main_images/small/06485.jpg")</f>
        <v>0.0</v>
      </c>
      <c r="F2048" s="2" t="inlineStr">
        <is>
          <t>5998312755310</t>
        </is>
      </c>
      <c r="G2048" s="4" t="inlineStr">
        <is>
          <t>Az ideális szerszámot keresi, amely pontos és tiszta vágást garantál kisebb barkácsolási vagy hobbiprojektekhez? A Home SZK 20 szike az, amire szüksége van. 
Ez a kézreálló szike műanyag burkolattal rendelkezik, amely nem csak tartós, de könnyű is, így biztosítja a kényelmes és pontos vágást hosszú időn keresztül.
A csomag tartalmaz egy 18 mm-es pengét, amely éles és precíz, tökéletes választás papír, karton, vékony műanyag vagy akár textil anyagok vágásához. Az egyszerűen cserélhető penge lehetővé teszi, hogy mindig a lehető legjobb élességet biztosíthassa munkájához, növelve ezzel a munka hatékonyságát és minőségét. Amennyiben pótpengére lenne szüksége, úgy válassza a SZKB 21 tartalékpenge csomagot.
A Home SZK 20 szike nem csak praktikus és hatékony, hanem biztonságos is. A műanyag burkolat megvédi a kezét a véletlen sérülésektől, miközben a szike ergonómikus tervezése biztosítja, hogy a vágás során mindig tökéletes ellenőrzése legyen a szerszám felett.
Ne hagyja, hogy az életlen vagy kényelmetlen szerszámok akadályozzák projektjeit! A Home SZK 20 szike segítségével minden vágási feladat egyszerűvé és pontosabbá válik.</t>
        </is>
      </c>
    </row>
    <row r="2049">
      <c r="A2049" s="3" t="inlineStr">
        <is>
          <t>SZK 21</t>
        </is>
      </c>
      <c r="B2049" s="2" t="inlineStr">
        <is>
          <t>Home SZK 21 szike, fém pengevezető, műanyag burkolat, 18 mm-es penge</t>
        </is>
      </c>
      <c r="C2049" s="1" t="n">
        <v>729.0</v>
      </c>
      <c r="D2049" s="7" t="n">
        <f>HYPERLINK("https://www.somogyi.hu/product/home-szk-21-szike-fem-pengevezeto-muanyag-burkolat-18-mm-es-penge-szk-21-6486","https://www.somogyi.hu/product/home-szk-21-szike-fem-pengevezeto-muanyag-burkolat-18-mm-es-penge-szk-21-6486")</f>
        <v>0.0</v>
      </c>
      <c r="E2049" s="7" t="n">
        <f>HYPERLINK("https://www.somogyi.hu/data/img/product_main_images/small/06486.jpg","https://www.somogyi.hu/data/img/product_main_images/small/06486.jpg")</f>
        <v>0.0</v>
      </c>
      <c r="F2049" s="2" t="inlineStr">
        <is>
          <t>5998312755327</t>
        </is>
      </c>
      <c r="G2049" s="4" t="inlineStr">
        <is>
          <t>Egy megbízható és pontos szikét keres, amely minden precíziós vágási feladatot könnyedén megold? A Home SZK 21 szike ideális eszköz az Ön számára. 
Ez a szike kiváló minőségű műanyag burkolattal és fém pengevezetővel rendelkezik, amely garantálja a stabilitást és precizitást minden vágásnál. A csomag egy 18 mm-es pengét is tartalmaz, így azonnal használatra kész, amint kezébe veszi. A szike ergonómikus tervezése biztosítja a kényelmes fogást és könnyű manőverezhetőséget, legyen szó hobbiprojektekről, művészeti munkákról vagy akár otthoni javításokról. A fém pengevezető tovább erősíti a szerszám stabilitását, így még a legnehezebb anyagokkal – mint például a karton, a műanyag vagy a vékony fémlemezek – szemben is pontos vágást tesz lehetővé.
Ajánljuk a külön megvásárolható SZKB 21 tartalékpenge csomagot is, amely biztosítja, hogy mindig legyen kéznél éles penge, amikor szükség van rá. A pengecsere egyszerű és gyors, így a munka nem marad abba a penge életének végén.
Ne hagyja, hogy a pontatlan vágások megakadályozzák projektjei sikerét! A Home SZK 21 szike a tökéletes kombinációja a kényelemnek, stabilitásnak és precizitásnak, amely minden precíziós vágási feladathoz elengedhetetlen.</t>
        </is>
      </c>
    </row>
    <row r="2050">
      <c r="A2050" s="6" t="inlineStr">
        <is>
          <t xml:space="preserve">   Mérés, szerszám, forrasztás / Fogó</t>
        </is>
      </c>
      <c r="B2050" s="6" t="inlineStr">
        <is>
          <t/>
        </is>
      </c>
      <c r="C2050" s="6" t="inlineStr">
        <is>
          <t/>
        </is>
      </c>
      <c r="D2050" s="6" t="inlineStr">
        <is>
          <t/>
        </is>
      </c>
      <c r="E2050" s="6" t="inlineStr">
        <is>
          <t/>
        </is>
      </c>
      <c r="F2050" s="6" t="inlineStr">
        <is>
          <t/>
        </is>
      </c>
      <c r="G2050" s="6" t="inlineStr">
        <is>
          <t/>
        </is>
      </c>
    </row>
    <row r="2051">
      <c r="A2051" s="3" t="inlineStr">
        <is>
          <t>HT 109</t>
        </is>
      </c>
      <c r="B2051" s="2" t="inlineStr">
        <is>
          <t>Home HT 109 műszerész csípőfogó, 130mm, keményfém él</t>
        </is>
      </c>
      <c r="C2051" s="1" t="n">
        <v>2290.0</v>
      </c>
      <c r="D2051" s="7" t="n">
        <f>HYPERLINK("https://www.somogyi.hu/product/home-ht-109-muszeresz-csipofogo-130mm-kemenyfem-el-ht-109-1795","https://www.somogyi.hu/product/home-ht-109-muszeresz-csipofogo-130mm-kemenyfem-el-ht-109-1795")</f>
        <v>0.0</v>
      </c>
      <c r="E2051" s="7" t="n">
        <f>HYPERLINK("https://www.somogyi.hu/data/img/product_main_images/small/01795.jpg","https://www.somogyi.hu/data/img/product_main_images/small/01795.jpg")</f>
        <v>0.0</v>
      </c>
      <c r="F2051" s="2" t="inlineStr">
        <is>
          <t>5998312702635</t>
        </is>
      </c>
      <c r="G2051" s="4" t="inlineStr">
        <is>
          <t>Szüksége van egy kis méretű, de rendkívül erős és sokoldalú műszerész csípőfogóra, amely képes megküzdeni a legnehezebb feladatokkal is? A Home HT 109 műszerész csípőfogó az, amit keres. 
Mindössze 130 mm hosszúságú, keményfém éllel van felszerelve, ami lehetővé teszi a precíz vágást és csupaszolást mindenféle vezetékkel. Ez a kiváló minőségű csípőfogó rugós mechanizmussal rendelkezik, amely megkönnyíti a használatot és növeli a hatékonyságot a munkavégzés során. Az erős, de precíz vágóél ideális eszköz a szoros helyeken történő munkavégzéshez, legyen szó elektronikai javításról, hobbiról vagy bármilyen finommechanikai munkáról. A Home HT 109 műszerész csípőfogóval könnyedén megoldhatók a vágási és csupaszolási feladatok anélkül, hogy több különböző szerszámot kellene használni. A kompakt mérete miatt tökéletes társ lehet a munkapadon vagy a szerszámtáskában, mindig kéznél, amikor szükség van rá.
Bízza a precíziós munkát a Home HT 109 műszerész csípőfogóra, és élvezze a könnyű, de erőteljes vágást és csupaszolást, amelyet ez az eszköz nyújt.</t>
        </is>
      </c>
    </row>
    <row r="2052">
      <c r="A2052" s="3" t="inlineStr">
        <is>
          <t>1PK-036S</t>
        </is>
      </c>
      <c r="B2052" s="2" t="inlineStr">
        <is>
          <t>Pro'skit 1PK-036S hegyes csőrű fogó, 135 mm, edzett vágóél, acél</t>
        </is>
      </c>
      <c r="C2052" s="1" t="n">
        <v>2890.0</v>
      </c>
      <c r="D2052" s="7" t="n">
        <f>HYPERLINK("https://www.somogyi.hu/product/pro-skit-1pk-036s-hegyes-csoru-fogo-135-mm-edzett-vagoel-acel-1pk-036s-4455","https://www.somogyi.hu/product/pro-skit-1pk-036s-hegyes-csoru-fogo-135-mm-edzett-vagoel-acel-1pk-036s-4455")</f>
        <v>0.0</v>
      </c>
      <c r="E2052" s="7" t="n">
        <f>HYPERLINK("https://www.somogyi.hu/data/img/product_main_images/small/04455.jpg","https://www.somogyi.hu/data/img/product_main_images/small/04455.jpg")</f>
        <v>0.0</v>
      </c>
      <c r="F2052" s="2" t="inlineStr">
        <is>
          <t>5998312739174</t>
        </is>
      </c>
      <c r="G2052" s="4" t="inlineStr">
        <is>
          <t>Szüksége van egy sokoldalú eszközre, amely képes vágásra, csupaszolásra, szorításra és hajlításra egyaránt? A Pro'skit 1PK-036S hegyes csőrű fogó a tökéletes választás mindenféle precíziós munkához. 
Ez a 135 mm hosszúságú fogó kiváló minőségű acélból készült, biztosítva a tartósságot és az erőt minden alkalmazás során. A keményített és edzett vágóél garantálja, hogy a fogó éles és hatékony marad hosszú távon is, akár vágásról, akár vezeték csupaszolásról van szó. Az érdesített PVC markolatborítás nem csak kényelmes fogást biztosít, hanem megakadályozza a fogó kicsúszását a kézből munka közben, így növelve a munkavégzés biztonságát és pontosságát. A Pro'skit 1PK-036S hegyes csőrű fogó kialakítása ideális szűk helyeken végzett munkákhoz is, ahol a precizitás és a szoros hozzáférés kulcsfontosságú. Legyen szó elektronikai szerelésről, ékszerkészítésről vagy bármilyen finommechanikai feladatról, ez a fogó minden igényt kielégít.
Ne hagyja, hogy a kevésbé hatékony eszközök hátráltassák projektjeit! Válassza a Pro'skit 1PK-036S hegyes csőrű fogót, és tapasztalja meg a sokoldalúság, erő és precizitás tökéletes kombinációját.</t>
        </is>
      </c>
    </row>
    <row r="2053">
      <c r="A2053" s="3" t="inlineStr">
        <is>
          <t>PD-992</t>
        </is>
      </c>
      <c r="B2053" s="2" t="inlineStr">
        <is>
          <t>Home PD-992 professzionális kábelcsupaszoló kés, biztonsági zár, 3 - 30 mm kábelátmérőhöz, 200 mm</t>
        </is>
      </c>
      <c r="C2053" s="1" t="n">
        <v>5190.0</v>
      </c>
      <c r="D2053" s="7" t="n">
        <f>HYPERLINK("https://www.somogyi.hu/product/home-pd-992-professzionalis-kabelcsupaszolo-kes-biztonsagi-zar-3-30-mm-kabelatmerohoz-200-mm-pd-992-17517","https://www.somogyi.hu/product/home-pd-992-professzionalis-kabelcsupaszolo-kes-biztonsagi-zar-3-30-mm-kabelatmerohoz-200-mm-pd-992-17517")</f>
        <v>0.0</v>
      </c>
      <c r="E2053" s="7" t="n">
        <f>HYPERLINK("https://www.somogyi.hu/data/img/product_main_images/small/17517.jpg","https://www.somogyi.hu/data/img/product_main_images/small/17517.jpg")</f>
        <v>0.0</v>
      </c>
      <c r="F2053" s="2" t="inlineStr">
        <is>
          <t>5999084955397</t>
        </is>
      </c>
      <c r="G2053" s="4" t="inlineStr">
        <is>
          <t xml:space="preserve"> • csupaszoló: igen 
 • egyéb: vágó, csupaszoló és bontó kés 
 • jellemzők: behajtható, kényelmes pengevédő biztonsági zárral / a „V” pozícionáló horony megelőzi a kábel elcsúszását / a pengevédő a helyén tartja a vezetéket munka közben / rendkívül erős, vastag, tartós penge / ergonomikus, kézhez álló kialakítás / széles felhasználási tartomány: 3-30mm-es kábelátmérőkhöz / felakasztható markolat 
 • méret: teljes hossz: 200 mm</t>
        </is>
      </c>
    </row>
    <row r="2054">
      <c r="A2054" s="3" t="inlineStr">
        <is>
          <t>6PK-501</t>
        </is>
      </c>
      <c r="B2054" s="2" t="inlineStr">
        <is>
          <t>Pro'skit 6PK-501 professzionális kábelcsupaszoló, 3,2 - 9 mm átmérőhöz, 112 mm, U és V alakú illeszték</t>
        </is>
      </c>
      <c r="C2054" s="1" t="n">
        <v>4490.0</v>
      </c>
      <c r="D2054" s="7" t="n">
        <f>HYPERLINK("https://www.somogyi.hu/product/pro-skit-6pk-501-professzionalis-kabelcsupaszolo-3-2-9-mm-atmerohoz-112-mm-u-es-v-alaku-illesztek-6pk-501-17514","https://www.somogyi.hu/product/pro-skit-6pk-501-professzionalis-kabelcsupaszolo-3-2-9-mm-atmerohoz-112-mm-u-es-v-alaku-illesztek-6pk-501-17514")</f>
        <v>0.0</v>
      </c>
      <c r="E2054" s="7" t="n">
        <f>HYPERLINK("https://www.somogyi.hu/data/img/product_main_images/small/17514.jpg","https://www.somogyi.hu/data/img/product_main_images/small/17514.jpg")</f>
        <v>0.0</v>
      </c>
      <c r="F2054" s="2" t="inlineStr">
        <is>
          <t>5999084955366</t>
        </is>
      </c>
      <c r="G2054" s="4" t="inlineStr">
        <is>
          <t>Egy univerzális eszközt keres, ami gyorsan és biztonságosan csupaszolja és vágja a különböző típusú kábeleket? A Pro'skit 6PK-501 professzionális kábelcsupaszoló minden, amire szüksége lehet. 
Ez a termék kiválóan alkalmazkodik 3,2-től 9 mm átmérőjű vezetékekhez, legyen szó koaxiális, telefonkábelről, egyszerű, többerű, lapos, kör vagy akár UTP/FTP/STP hálózati kábelekről.
A körbe forgatható dizájn lehetővé teszi a kábel gyors és egyszerű csupaszolását anélkül, hogy károsítaná a belső vezetékeket. Az átmérőbeállító csavar segítségével könnyedén beállíthatja a kívánt méretet, míg az U és V alakú kábel illesztékek biztosítják a különböző típusú kábelekhez való illeszkedést, maximális rugalmasságot nyújtva használat közben.
112 mm hosszúságával a Pro'skit 6PK-501 professzionális kábelcsupaszoló kompakt és könnyen kezelhető, ideális szerszám minden elektronikai és hálózati munkához. Akár szakember, akár amatőr, ez a kábelcsupaszoló tökéletes kiegészítője lehet szerszámkészletének.
Ne hagyja, hogy a bonyolult kábelcsupaszolás akadályozza munkáját. Válassza a Pro'skit 6PK-501 professzionális terméket, és élvezze a gyors, biztonságos és precíz munkát minden egyes használatkor.</t>
        </is>
      </c>
    </row>
    <row r="2055">
      <c r="A2055" s="3" t="inlineStr">
        <is>
          <t>CP-342</t>
        </is>
      </c>
      <c r="B2055" s="2" t="inlineStr">
        <is>
          <t>Home CP-342 UTP-RJ45-8P8C gyorskrimpelő fogó, nyitott végű dugókhoz, biztonsági zár, gyors</t>
        </is>
      </c>
      <c r="C2055" s="1" t="n">
        <v>21790.0</v>
      </c>
      <c r="D2055" s="7" t="n">
        <f>HYPERLINK("https://www.somogyi.hu/product/home-cp-342-utp-rj45-8p8c-gyorskrimpelo-fogo-nyitott-vegu-dugokhoz-biztonsagi-zar-gyors-cp-342-17877","https://www.somogyi.hu/product/home-cp-342-utp-rj45-8p8c-gyorskrimpelo-fogo-nyitott-vegu-dugokhoz-biztonsagi-zar-gyors-cp-342-17877")</f>
        <v>0.0</v>
      </c>
      <c r="E2055" s="7" t="n">
        <f>HYPERLINK("https://www.somogyi.hu/data/img/product_main_images/small/17877.jpg","https://www.somogyi.hu/data/img/product_main_images/small/17877.jpg")</f>
        <v>0.0</v>
      </c>
      <c r="F2055" s="2" t="inlineStr">
        <is>
          <t>5999084958992</t>
        </is>
      </c>
      <c r="G2055" s="4" t="inlineStr">
        <is>
          <t xml:space="preserve"> • jellemzők: UTP - RJ45 - 8P8C moduláris dugókhoz • átmenő, nyitott végű dugókhoz tervezve (TS 51PRO) • professzionális kéziszerszám • csupaszol, majd egyszerre krimpel és vág • párhuzamosan működő funkciók • gyorsabb munka, kevesebb hiba, jobb kontaktus • biztonsági zár a könnyű tároláshoz • precíziós, megerősített mozgó fejszerkezet • csúszásmentes markolat • hagyományos RJ45 dugókkal is használható 
 • méret: tenyérbe illeszkedő, kicsi, kompakt méret (143mm)</t>
        </is>
      </c>
    </row>
    <row r="2056">
      <c r="A2056" s="3" t="inlineStr">
        <is>
          <t>1PK-067DS</t>
        </is>
      </c>
      <c r="B2056" s="2" t="inlineStr">
        <is>
          <t>Pro'skit 1PK-067DS csípőfogó, 165mm, indukciós edzésű vágóél, acél</t>
        </is>
      </c>
      <c r="C2056" s="1" t="n">
        <v>3790.0</v>
      </c>
      <c r="D2056" s="7" t="n">
        <f>HYPERLINK("https://www.somogyi.hu/product/pro-skit-1pk-067ds-csipofogo-165mm-indukcios-edzesu-vagoel-acel-1pk-067ds-16266","https://www.somogyi.hu/product/pro-skit-1pk-067ds-csipofogo-165mm-indukcios-edzesu-vagoel-acel-1pk-067ds-16266")</f>
        <v>0.0</v>
      </c>
      <c r="E2056" s="7" t="n">
        <f>HYPERLINK("https://www.somogyi.hu/data/img/product_main_images/small/16266.jpg","https://www.somogyi.hu/data/img/product_main_images/small/16266.jpg")</f>
        <v>0.0</v>
      </c>
      <c r="F2056" s="2" t="inlineStr">
        <is>
          <t>5999084942984</t>
        </is>
      </c>
      <c r="G2056" s="4" t="inlineStr">
        <is>
          <t>Szüksége van egy olyan eszközre, amely pontos vágást és csupaszolást tesz lehetővé minden egyes használatkor? A Pro'skit 1PK-067DS csípőfogó kiválóan alkalmas minden szakember és DIY (do it yourself azaz csináld magad) rajongó számára, akik precíziós munkavégzést és tartósságot keresnek egy eszközben. 
Ez a 165 mm hosszúságú csípőfogó minőségi acélból készült, amely garantálja a megbízható teljesítményt és az ellenálló képességet a mindennapi használat során.
Az indukciós edzésű keményített vágóél lehetővé teszi a tiszta és precíz vágásokat, legyen szó bármilyen vezeték vagy kis alkatrész átvágásáról. A finomra polírozott külső nemcsak esztétikus megjelenést biztosít, hanem hosszú távon is megőrzi az eszköz állapotát, így az évek során is megtartja fényét és ellenálló képességét.
A gumírozott, vastagon burkolt markolat ergonomikus kialakítása kényelmes fogást és csúszásmentes használatot biztosít, így még a hosszabb ideig tartó munkavégzés is kevésbé fárasztó. 
A Pro'skit 1PK-067DS csípőfogó tökéletes választás azok számára, akik nem akarnak kompromisszumot kötni a minőség és a kényelem terén. Bízza a precíziós vágási és csupaszolási munkáit a Pro'skit 1PK-067DS csípőfogóra, és tapasztalja meg, milyen könnyedén és hatékonyan végezheti el a feladatokat.</t>
        </is>
      </c>
    </row>
    <row r="2057">
      <c r="A2057" s="3" t="inlineStr">
        <is>
          <t>TW 4-6</t>
        </is>
      </c>
      <c r="B2057" s="2" t="inlineStr">
        <is>
          <t>Home TW 4-6 préselőfogó, telefondugóhoz, 210 mm, 3 mérethez, 2 csupaszolási hossz, fém</t>
        </is>
      </c>
      <c r="C2057" s="1" t="n">
        <v>5690.0</v>
      </c>
      <c r="D2057" s="7" t="n">
        <f>HYPERLINK("https://www.somogyi.hu/product/home-tw-4-6-preselofogo-telefondugohoz-210-mm-3-merethez-2-csupaszolasi-hossz-fem-tw-4-6-10418","https://www.somogyi.hu/product/home-tw-4-6-preselofogo-telefondugohoz-210-mm-3-merethez-2-csupaszolasi-hossz-fem-tw-4-6-10418")</f>
        <v>0.0</v>
      </c>
      <c r="E2057" s="7" t="n">
        <f>HYPERLINK("https://www.somogyi.hu/data/img/product_main_images/small/10418.jpg","https://www.somogyi.hu/data/img/product_main_images/small/10418.jpg")</f>
        <v>0.0</v>
      </c>
      <c r="F2057" s="2" t="inlineStr">
        <is>
          <t>5998312789841</t>
        </is>
      </c>
      <c r="G2057" s="4" t="inlineStr">
        <is>
          <t>Van már olyan eszköze, amely egyszerre képes telefondugók vágására, csupaszolására és préselésére, miközben precíz és megbízható munkát garantál? A Home TW 4-6 préselőfogó kifejezetten a telekommunikációs feladatok igényeihez lett szabva. 
A 210 mm hosszúságú, strapabíró fém szerkezetű fogóval a 4/4, 6/6, és 8/8 csatlakozók préselése gyerekjátékká válik. Két különböző csupaszolási hossz (6/12 mm) biztosítja, hogy a vezetékek előkészítése mindig a lehető legpontosabb legyen, függetlenül attól, hogy milyen feladatot kell elvégezni. A vágási, csupaszolási és préselési funkciók ötvözése lehetővé teszi, hogy ezt az egyetlen eszközt használva kiválóan és hatékonyan végezhesse el a telekommunikációhoz kötődő munkálatokat.
A Home TW 4-6 kiemelkedik az oldható, automatikus reteszelési funkciójával is, amely megkönnyíti a munkát, és biztosítja a folyamatos, megszakítás nélküli munkavégzést. Ez a jellemző növeli a munka hatékonyságát, és csökkenti a fáradtságot hosszú használat során.
Ne hagyja, hogy a bonyolult telekommunikációs feladatok fejtörést okozzanak! A Home TW 4-6 préselőfogóval minden munkafázis gyorsan és pontosan elvégezhető.</t>
        </is>
      </c>
    </row>
    <row r="2058">
      <c r="A2058" s="3" t="inlineStr">
        <is>
          <t>1PK-037S</t>
        </is>
      </c>
      <c r="B2058" s="2" t="inlineStr">
        <is>
          <t>Pro'skit 1PK-037S oldalcsípőfogó, 110 mm, edzett vágóél, acél</t>
        </is>
      </c>
      <c r="C2058" s="1" t="n">
        <v>2890.0</v>
      </c>
      <c r="D2058" s="7" t="n">
        <f>HYPERLINK("https://www.somogyi.hu/product/pro-skit-1pk-037s-oldalcsipofogo-110-mm-edzett-vagoel-acel-1pk-037s-4454","https://www.somogyi.hu/product/pro-skit-1pk-037s-oldalcsipofogo-110-mm-edzett-vagoel-acel-1pk-037s-4454")</f>
        <v>0.0</v>
      </c>
      <c r="E2058" s="7" t="n">
        <f>HYPERLINK("https://www.somogyi.hu/data/img/product_main_images/small/04454.jpg","https://www.somogyi.hu/data/img/product_main_images/small/04454.jpg")</f>
        <v>0.0</v>
      </c>
      <c r="F2058" s="2" t="inlineStr">
        <is>
          <t>5998312739167</t>
        </is>
      </c>
      <c r="G2058" s="4" t="inlineStr">
        <is>
          <t>Egy kis méretű, mégis erőteljes oldalcsípőfogót keres, amely minden precíziós munkát könnyedén elvégez? A Pro'skit 1PK-037S oldalcsípőfogó a tökéletes eszköz minden olyan feladathoz, ahol a pontosság és a megbízhatóság kulcsfontosságú. 
Ez a 110 mm hosszúságú fogó magas minőségű acélból készült, ami garantálja a hosszú élettartamot és a kiemelkedő teljesítményt.
A keményített és edzett vágóéllel rendelkező Pro'skit 1PK-037S képes hatékonyan vágási feladatokat végezni, legyen szó vezetékek átvágásáról vagy csupaszolásáról. Az érdesített PVC markolatborítás biztosítja a fogó stabil és biztonságos tartását, még nedves vagy olajos kezekkel is, így növelve a munkavégzés pontosságát és biztonságát.
Ez az oldalcsípőfogó ideális választás elektronikai munkákhoz, finommechanikai javításokhoz vagy ékszerkészítéshez, ahol a kis méret és a precíz vágások nélkülözhetetlenek. Kompakt méretének köszönhetően könnyedén tárolható és magával vihető, így bárhol, bármikor kéznél van, amikor szükség van rá.
Ne engedje, hogy a kevésbé hatékony eszközök akadályozzák projektjeinek sikerét! Válassza a Pro'skit 1PK-037S oldalcsípőfogót, és élvezze a precíziós vágások és a tartós, megbízható teljesítmény előnyeit.</t>
        </is>
      </c>
    </row>
    <row r="2059">
      <c r="A2059" s="3" t="inlineStr">
        <is>
          <t>8PK-CT005B</t>
        </is>
      </c>
      <c r="B2059" s="2" t="inlineStr">
        <is>
          <t>Home 8PK-CT005B érvéghüvely fogó, 6 préselési méret, 200 db hüvely, 145 mm hossz</t>
        </is>
      </c>
      <c r="C2059" s="1" t="n">
        <v>8390.0</v>
      </c>
      <c r="D2059" s="7" t="n">
        <f>HYPERLINK("https://www.somogyi.hu/product/home-8pk-ct005b-erveghuvely-fogo-6-preselesi-meret-200-db-huvely-145-mm-hossz-8pk-ct005b-18290","https://www.somogyi.hu/product/home-8pk-ct005b-erveghuvely-fogo-6-preselesi-meret-200-db-huvely-145-mm-hossz-8pk-ct005b-18290")</f>
        <v>0.0</v>
      </c>
      <c r="E2059" s="7" t="n">
        <f>HYPERLINK("https://www.somogyi.hu/data/img/product_main_images/small/18290.jpg","https://www.somogyi.hu/data/img/product_main_images/small/18290.jpg")</f>
        <v>0.0</v>
      </c>
      <c r="F2059" s="2" t="inlineStr">
        <is>
          <t>5999084963125</t>
        </is>
      </c>
      <c r="G2059" s="4" t="inlineStr">
        <is>
          <t xml:space="preserve"> • érvéghüvely préselése vezetékekre 
 • 6 féle préselési méret 
 • 0,25 / 0,75 / 1,0 / 1,5 / 2,0 / 2,5 mm2 
 • tartozék 200 db érvéghüvely 
 • 40x0,25mm2 / 40x0,75mm2 / 40x1,0mm2 / 40x1,5mm2 / 40x2,5mm2  
 • a fogó hossza: 145 mm</t>
        </is>
      </c>
    </row>
    <row r="2060">
      <c r="A2060" s="3" t="inlineStr">
        <is>
          <t>8PK-371D</t>
        </is>
      </c>
      <c r="B2060" s="2" t="inlineStr">
        <is>
          <t>Pro'skit 8PK-317D kábelcsupaszoló és préselő fogó, 210 mm, több féle mérethez, rögzíthető csupaszolási hossz</t>
        </is>
      </c>
      <c r="C2060" s="1" t="n">
        <v>11490.0</v>
      </c>
      <c r="D2060" s="7" t="n">
        <f>HYPERLINK("https://www.somogyi.hu/product/pro-skit-8pk-317d-kabelcsupaszolo-es-preselo-fogo-210-mm-tobb-fele-merethez-rogzitheto-csupaszolasi-hossz-8pk-371d-4464","https://www.somogyi.hu/product/pro-skit-8pk-317d-kabelcsupaszolo-es-preselo-fogo-210-mm-tobb-fele-merethez-rogzitheto-csupaszolasi-hossz-8pk-371d-4464")</f>
        <v>0.0</v>
      </c>
      <c r="E2060" s="7" t="n">
        <f>HYPERLINK("https://www.somogyi.hu/data/img/product_main_images/small/04464.jpg","https://www.somogyi.hu/data/img/product_main_images/small/04464.jpg")</f>
        <v>0.0</v>
      </c>
      <c r="F2060" s="2" t="inlineStr">
        <is>
          <t>5998312739266</t>
        </is>
      </c>
      <c r="G2060" s="4" t="inlineStr">
        <is>
          <t>Van már olyan eszköze, amely egyszerre képes precízen csupaszolni, préselni és vágni, anélkül, hogy több különböző szerszámot kellene használnia? A Pro'skit 8PK-317D kábelcsupaszoló és préselő fogó pontosan ilyen sokoldalúságot kínál egyetlen, hatékony kialakításban. 
Ez a 210 mm hosszúságú fogó tökéletes választás mind a szigetelt, mind a szigeteletlen saruk 0,5 mm²-től 6 mm²-ig történő préselésére. A vezetékek elvágásától kezdve a gyors kábelcsupaszolásig, amely 0,2 mm²-től 6 mm²-ig terjedő kábelekkel is megbirkózik, ez a fogó minden elektromos munka nélkülözhetetlen társa. A rögzíthető csupaszolási hossz lehetővé teszi a pontos és ismételhető munkavégzést, míg az elfordítható és eltávolítható végállás-ütköző biztosítja a különböző típusú és méretű kábelekkel való munka egyszerűségét és rugalmasságát.
A Pro'skit 8PK-317D nemcsak azért kiemelkedő, mert egyszerre több funkciót is ellát, hanem mert mindezt a felhasználó kényelmét és a munkavégzés hatékonyságát szem előtt tartva teszi. Tökéletes választás elektromos szakemberek, műszaki hobbisták számára egyaránt.
Tegye munkafolyamatát egyszerűbbé és hatékonyabbá a Pro'skit 8PK-317D kábelcsupaszoló és préselő fogóval.</t>
        </is>
      </c>
    </row>
    <row r="2061">
      <c r="A2061" s="3" t="inlineStr">
        <is>
          <t>CP-080E</t>
        </is>
      </c>
      <c r="B2061" s="2" t="inlineStr">
        <is>
          <t>Pro'skit CP-080E kábelcsopaszoló, 172 mm, 0,2-0,6 mm^2-ig, állítható hossz</t>
        </is>
      </c>
      <c r="C2061" s="1" t="n">
        <v>5190.0</v>
      </c>
      <c r="D2061" s="7" t="n">
        <f>HYPERLINK("https://www.somogyi.hu/product/pro-skit-cp-080e-kabelcsopaszolo-172-mm-0-2-0-6-mm-2-ig-allithato-hossz-cp-080e-11873","https://www.somogyi.hu/product/pro-skit-cp-080e-kabelcsopaszolo-172-mm-0-2-0-6-mm-2-ig-allithato-hossz-cp-080e-11873")</f>
        <v>0.0</v>
      </c>
      <c r="E2061" s="7" t="n">
        <f>HYPERLINK("https://www.somogyi.hu/data/img/product_main_images/small/11873.jpg","https://www.somogyi.hu/data/img/product_main_images/small/11873.jpg")</f>
        <v>0.0</v>
      </c>
      <c r="F2061" s="2" t="inlineStr">
        <is>
          <t>5999084900854</t>
        </is>
      </c>
      <c r="G2061" s="4" t="inlineStr">
        <is>
          <t>Van már olyan kábelcsupaszolója, amely könnyedén alkalmazkodik a különböző méretű vezetékekhez, és precíz vágást garantál minden egyes használatkor? A Pro'skit CP-080E kábelcsupaszoló a sokoldalú és megbízható eszköz, amely minden elektromos projektben nélkülözhetetlen. 
Ez a 172 mm hosszúságú fogó kábelcsupaszolásra lett tervezve, amely a 0,2 mm²-től 6 mm²-ig terjedő kábelekkel kompatibilis, így széles körű alkalmazást biztosít. A Pro'skit CP-080E nem csak csupaszol, hanem vág is, ami kétszeresen praktikussá teszi. A beállítható csupaszolási hossz lehetővé teszi, hogy pontosan szabályozza, mennyi vezetéket távolítson el, így biztosítva a munka precizitását és hatékonyságát minden egyes használatkor. Ez az egyszerűen állítható funkció különösen hasznos változatos projektjeinél, ahol különböző típusú és méretű vezetékekkel dolgozik.
A Pro'skit CP-080E kábelcsupaszoló ergonomikus kialakítása és könnyű kezelhetősége révén kényelmes használatot biztosít, még hosszabb ideig tartó munkavégzés esetén is. Tökéletes választás szakemberek és amatőrök számára egyaránt, akik egy megbízható, pontos és könnyen használható kábelcsupaszolót keresnek.
Ne engedje, hogy a nehézkes csupaszolás lassítsa projekteit! A Pro'skit CP-080E kábelcsupaszolóval egyszerűvé és gyorssá válik minden csupaszolási és vágási feladat.</t>
        </is>
      </c>
    </row>
    <row r="2062">
      <c r="A2062" s="3" t="inlineStr">
        <is>
          <t>8PK-313B</t>
        </is>
      </c>
      <c r="B2062" s="2" t="inlineStr">
        <is>
          <t>Pro'skit 8PK-313B kábelcsupaszoló és préselő fogó, 230 mm, több féle mérethez, szigetelt és szigeteletlen sarukhoz</t>
        </is>
      </c>
      <c r="C2062" s="1" t="n">
        <v>4890.0</v>
      </c>
      <c r="D2062" s="7" t="n">
        <f>HYPERLINK("https://www.somogyi.hu/product/pro-skit-8pk-313b-kabelcsupaszolo-es-preselo-fogo-230-mm-tobb-fele-merethez-szigetelt-es-szigeteletlen-sarukhoz-8pk-313b-4465","https://www.somogyi.hu/product/pro-skit-8pk-313b-kabelcsupaszolo-es-preselo-fogo-230-mm-tobb-fele-merethez-szigetelt-es-szigeteletlen-sarukhoz-8pk-313b-4465")</f>
        <v>0.0</v>
      </c>
      <c r="E2062" s="7" t="n">
        <f>HYPERLINK("https://www.somogyi.hu/data/img/product_main_images/small/04465.jpg","https://www.somogyi.hu/data/img/product_main_images/small/04465.jpg")</f>
        <v>0.0</v>
      </c>
      <c r="F2062" s="2" t="inlineStr">
        <is>
          <t>5998312739273</t>
        </is>
      </c>
      <c r="G2062" s="4" t="inlineStr">
        <is>
          <t>A tökéletes eszközt keresi, ami egyesíti a kábelcsupaszolás, préselés és vágás funkcióit? A Pro'skit 8PK-313B kábelcsupaszoló és préselő fogó a sokoldalú megoldás minden elektromos munkára. 
Ez a 230 mm hosszúságú fogó lehetővé teszi mind a szigetelt, mind a szigeteletlen saruk könnyű préselését, a szigetelt saruk esetében piros színnel jelölve az 1 mm²-ig, kéken a 2,5 mm²-ig, sárgával pedig a 6 mm²-ig terjedő kábeleket, míg a szigeteletlen saruknál 1,5 mm²-től 6 mm²-ig használható.
A vezetékek elvágása mellett a készülék kábelcsupaszoló funkciója is rendkívül hatékony, 0,75 mm²-től 6 mm²-ig terjedő kábelek esetén, biztosítva a pontos és gyors munkavégzést. Továbbá, a csavarok rövidítésére is alkalmas, M2,6-tól M5-ig terjedő méretben, ami még több felhasználási lehetőséget nyújt.
A Pro'skit 8PK-313B ergonómikus tervezése és a kényelmes fogása révén hosszabb munkavégzés során is kényelmes használatot tesz lehetővé, miközben a beépített funkciók sokasága megkönnyíti a szakemberek és az amatőrök munkáját egyaránt.
Ne hagyja, hogy a munkavégzés hatékonysága az eszközök hiányosságai miatt csökkenjen! Válassza a Pro'skit 8PK-313B kábelcsupaszoló és préselő fogót, és élvezze a gyors, pontos és hatékony munkavégzést minden elektromos projektben.</t>
        </is>
      </c>
    </row>
    <row r="2063">
      <c r="A2063" s="3" t="inlineStr">
        <is>
          <t>PA-101</t>
        </is>
      </c>
      <c r="B2063" s="2" t="inlineStr">
        <is>
          <t>Home PA -101 műszerész csípőfogó, 130 mm, keményfém él</t>
        </is>
      </c>
      <c r="C2063" s="1" t="n">
        <v>3490.0</v>
      </c>
      <c r="D2063" s="7" t="n">
        <f>HYPERLINK("https://www.somogyi.hu/product/home-pa-101-muszeresz-csipofogo-130-mm-kemenyfem-el-pa-101-11872","https://www.somogyi.hu/product/home-pa-101-muszeresz-csipofogo-130-mm-kemenyfem-el-pa-101-11872")</f>
        <v>0.0</v>
      </c>
      <c r="E2063" s="7" t="n">
        <f>HYPERLINK("https://www.somogyi.hu/data/img/product_main_images/small/11872.jpg","https://www.somogyi.hu/data/img/product_main_images/small/11872.jpg")</f>
        <v>0.0</v>
      </c>
      <c r="F2063" s="2" t="inlineStr">
        <is>
          <t>5999084900847</t>
        </is>
      </c>
      <c r="G2063" s="4" t="inlineStr">
        <is>
          <t>Van már olyan műszerész csípőfogója, amely kivételesen éles, tartós, és mégis kényelmesen használható? A Pro'skit PA-101 műszerész csípőfogó a válasz mindenki számára, aki precíz vágást igénylő munkát végez. 
Mindössze 130 mm hosszú, de a keményfém élek – amelyek 65 Mn acélból készültek HRC: 52° keménységgel – biztosítják a kiemelkedő tartósságot és vágási képességet.
A csúszásmentes markolat garantálja a stabil és biztonságos fogást minden körülmények között, legyen szó hosszú munkaidőről vagy a legfinomabb elektronikai szerelési feladatokról. A fogó tervezésekor a felhasználói kényelmet tartották szem előtt, hogy még a legnehezebb munkák is könnyedén és pontosan elvégezhetőek legyenek.
A Pro'skit PA-101 műszerész csípőfogó tökéletes eszköz elektronikai javításokhoz, finom mechanikai munkákhoz vagy bármilyen helyzethez, ahol a precíz vágás elengedhetetlen. Az éles, keményfém éllel és a kényelmes, csúszásmentes markolattal ez a csípőfogó nemcsak, hogy megkönnyíti a munkát, de hosszú távon is megbízható társ lesz.
Ne elégedjen meg kevesebbel, ha a precizitás a kulcs! Válassza a Pro'skit PA-101 műszerész csípőfogót, és tapasztalja meg a különbséget, amit egy minőségi, jól tervezett eszköz tehet.</t>
        </is>
      </c>
    </row>
    <row r="2064">
      <c r="A2064" s="3" t="inlineStr">
        <is>
          <t>1PK-052DS</t>
        </is>
      </c>
      <c r="B2064" s="2" t="inlineStr">
        <is>
          <t>Pro'skit 1PK-052DS kombinált fogó, 162mm, indukciós edzésű vágóél, acél</t>
        </is>
      </c>
      <c r="C2064" s="1" t="n">
        <v>4490.0</v>
      </c>
      <c r="D2064" s="7" t="n">
        <f>HYPERLINK("https://www.somogyi.hu/product/pro-skit-1pk-052ds-kombinalt-fogo-162mm-indukcios-edzesu-vagoel-acel-1pk-052ds-16265","https://www.somogyi.hu/product/pro-skit-1pk-052ds-kombinalt-fogo-162mm-indukcios-edzesu-vagoel-acel-1pk-052ds-16265")</f>
        <v>0.0</v>
      </c>
      <c r="E2064" s="7" t="n">
        <f>HYPERLINK("https://www.somogyi.hu/data/img/product_main_images/small/16265.jpg","https://www.somogyi.hu/data/img/product_main_images/small/16265.jpg")</f>
        <v>0.0</v>
      </c>
      <c r="F2064" s="2" t="inlineStr">
        <is>
          <t>5999084942977</t>
        </is>
      </c>
      <c r="G2064" s="4" t="inlineStr">
        <is>
          <t>Egy megbízható eszközt keres, amely minden szükséges funkciót egyesít, hogy munkáját egyszerűbbé és hatékonyabbá tegye? A Pro'skit 1PK-052DS kombinált fogó a tökéletes választás az Ön számára. 
Ez a 162 mm hosszúságú fogó kiváló minőségű acélból készült, garantálva a tartósságot és a megbízható teljesítményt minden felhasználási területen.
A precíz kiképzésű fogófelület biztosítja a fogás erősségét és pontosságát, legyen szó bármilyen csupaszolási, szorítási vagy hajlítási munkáról. Az indukciós edzésű keményített vágóél különösen hasznos a vezetékek vagy kis alkatrészek vágásakor, biztosítva az éles és tiszta vágást minden használatkor.
A gumírozott, vastagon burkolt markolat kialakítása kényelmes fogást nyújt, még hosszantartó használat során is, csökkentve a kezek fáradását és növelve a munka hatékonyságát. Ez a funkcióval bővített eszköz ideális választás szakemberek és barkácsolók számára egyaránt, akik egy sokoldalú és megbízható fogóra vágynak.
Ne hagyja, hogy a kevésbé hatékony eszközök akadályozzák projektjeinek sikerét! Válassza a Pro'skit 1PK-052DS kombinált fogót, és tapasztalja meg a precízió, tartósság és sokoldalúság előnyeit.</t>
        </is>
      </c>
    </row>
    <row r="2065">
      <c r="A2065" s="3" t="inlineStr">
        <is>
          <t>KOF 1000</t>
        </is>
      </c>
      <c r="B2065" s="2" t="inlineStr">
        <is>
          <t>Home KOF 1000 szigetelt kombinált fogó, max 1000 V~, 170 mm, acél</t>
        </is>
      </c>
      <c r="C2065" s="1" t="n">
        <v>4090.0</v>
      </c>
      <c r="D2065" s="7" t="n">
        <f>HYPERLINK("https://www.somogyi.hu/product/home-kof-1000-szigetelt-kombinalt-fogo-max-1000-v-170-mm-acel-kof-1000-16602","https://www.somogyi.hu/product/home-kof-1000-szigetelt-kombinalt-fogo-max-1000-v-170-mm-acel-kof-1000-16602")</f>
        <v>0.0</v>
      </c>
      <c r="E2065" s="7" t="n">
        <f>HYPERLINK("https://www.somogyi.hu/data/img/product_main_images/small/16602.jpg","https://www.somogyi.hu/data/img/product_main_images/small/16602.jpg")</f>
        <v>0.0</v>
      </c>
      <c r="F2065" s="2" t="inlineStr">
        <is>
          <t>5999084946340</t>
        </is>
      </c>
      <c r="G2065" s="4" t="inlineStr">
        <is>
          <t>Egy megbízható fogót keres, amely biztonságosan használható még magas feszültség mellett is? A Home KOF 1000 szigetelt kombinált fogó az ideális választás. 
Ez a fogó, melynek hossza 170 mm, kiváló minőségű acélból készült, így garantálja a tartósságot és az erőt minden felhasználás során. A markolat szigetelése lehetővé teszi, hogy biztonságosan dolgozhasson akár 1000 V~ feszültség mellett is. Ez a jellemző teszi a Home KOF 1000 fogót elengedhetetlen eszközzé minden elektromos munkához, ahol a biztonság a legfontosabb. Az ergonómiailag tervezett, szigetelt markolat nemcsak a biztonságot növeli, hanem a kényelmet is, lehetővé téve a hosszantartó használatot fáradtság nélkül. Legyen szó vágásról, hajlításról, szorításról vagy csupaszolásról, ez a kombinált fogó minden szükséges funkciót biztosít egyetlen eszközben.
Legyen a biztonság és a funkcionalitás a legfontosabb és válassza a Home KOF 1000 kombinált fogót!</t>
        </is>
      </c>
    </row>
    <row r="2066">
      <c r="A2066" s="3" t="inlineStr">
        <is>
          <t>6PK-301H</t>
        </is>
      </c>
      <c r="B2066" s="2" t="inlineStr">
        <is>
          <t>Pro'skit 6PK-301H préselő fogó, 220 mm, 3 féle mérethez, racsnis áttétel, 6 féle nyomaték</t>
        </is>
      </c>
      <c r="C2066" s="1" t="n">
        <v>15690.0</v>
      </c>
      <c r="D2066" s="7" t="n">
        <f>HYPERLINK("https://www.somogyi.hu/product/pro-skit-6pk-301h-preselo-fogo-220-mm-3-fele-merethez-racsnis-attetel-6-fele-nyomatek-6pk-301h-4462","https://www.somogyi.hu/product/pro-skit-6pk-301h-preselo-fogo-220-mm-3-fele-merethez-racsnis-attetel-6-fele-nyomatek-6pk-301h-4462")</f>
        <v>0.0</v>
      </c>
      <c r="E2066" s="7" t="n">
        <f>HYPERLINK("https://www.somogyi.hu/data/img/product_main_images/small/04462.jpg","https://www.somogyi.hu/data/img/product_main_images/small/04462.jpg")</f>
        <v>0.0</v>
      </c>
      <c r="F2066" s="2" t="inlineStr">
        <is>
          <t>5998312739242</t>
        </is>
      </c>
      <c r="G2066" s="4" t="inlineStr">
        <is>
          <t>Az ideális eszközt keresi a szigetelt saruk pontos és megbízható préseléséhez? A Pro'skit 6PK-301H préselő fogóval búcsút mondhat a közelítő megoldásoknak és a bizonytalan kapcsolatoknak. 
Ez a 220 mm hosszúságú, erős és tartós fogó speciálisan a szigetelt saruk széles skálájának kezelésére lett tervezve, beleértve a piros (0,5-1,0 mm²), kék (1,5-2,5 mm²) és sárga (4-6 mm²) méretű sarukat. A racsnis áttétellel és automatikus reteszeléssel ellátott kialakítás biztosítja a folyamatos, sima működést, miközben a hibás préselés esetén alkalmazható oldható retesz lehetővé teszi a gyors korrekciót anélkül, hogy a munkafolyamat megszakadna. Ez a funkció különösen hasznos hosszú és fárasztó projektjeinél, ahol minden egyes préselés számít.
A 6-féle kiválasztható nyomatékbeállítás révén a Pro'skit 6PK-301H lehetővé teszi, hogy pontosan beállíthassa a szükséges erőt a különböző méretű és típusú sarukhoz, így garantálva a kapcsolatok megbízhatóságát és tartósságát. Akár elektromos berendezések szereléséről, járműjavításról vagy bármilyen otthoni projekt megvalósításáról van szó, ez a préselő fogó minden igényt kielégít.
Ne hagyja, hogy a kevésbé megbízható préselési technikák akadályozzák munkáját. Bízza a Pro'skit 6PK-301H préselő fogóra a szigetelt saruk kezelését, és élvezze a kényelmet, a pontosságot és a megbízható teljesítményt minden egyes használatkor.</t>
        </is>
      </c>
    </row>
    <row r="2067">
      <c r="A2067" s="3" t="inlineStr">
        <is>
          <t>6PK-230PA</t>
        </is>
      </c>
      <c r="B2067" s="2" t="inlineStr">
        <is>
          <t>Pro'skit 6PK-230PA préselő fogó, 230 mm, 5 féle mérethez, racsnis áttétel, 6 féle nyomaték</t>
        </is>
      </c>
      <c r="C2067" s="1" t="n">
        <v>16790.0</v>
      </c>
      <c r="D2067" s="7" t="n">
        <f>HYPERLINK("https://www.somogyi.hu/product/pro-skit-6pk-230pa-preselo-fogo-230-mm-5-fele-merethez-racsnis-attetel-6-fele-nyomatek-6pk-230pa-4463","https://www.somogyi.hu/product/pro-skit-6pk-230pa-preselo-fogo-230-mm-5-fele-merethez-racsnis-attetel-6-fele-nyomatek-6pk-230pa-4463")</f>
        <v>0.0</v>
      </c>
      <c r="E2067" s="7" t="n">
        <f>HYPERLINK("https://www.somogyi.hu/data/img/product_main_images/small/04463.jpg","https://www.somogyi.hu/data/img/product_main_images/small/04463.jpg")</f>
        <v>0.0</v>
      </c>
      <c r="F2067" s="2" t="inlineStr">
        <is>
          <t>5998312739259</t>
        </is>
      </c>
      <c r="G2067" s="4" t="inlineStr">
        <is>
          <t>Egy megbízható eszközt keres, amely könnyedén végzi el a koax csatlakozók préselését? A Pro'skit 6PK-230PA préselő fogó a tökéletes választás azok számára, akik precíz és professzionális megoldást keresnek a koax kábelek csatlakoztatásához. 
Ez a 230 mm hosszúságú fogó hatlapú préselést kínál, ami ideális a leggyakrabban használt koax csatlakozókhoz, beleértve az RG 55, RG 58, RG 59, RG 5 és RG 6 típusokat.
A fogó öt különböző méretre van optimalizálva (1,73 mm, 2,49 mm, 5,41 mm, 6,48 mm és 8,15 mm), így biztosítva, hogy minden szükséges koax csatlakozó típus megtalálható legyen a készletben. A racsnis áttétellel és automatikus reteszeléssel rendelkező kialakítás garantálja a folyamatos és megbízható működést, míg a hibás préselés esetén alkalmazható oldható retesz lehetővé teszi a gyors korrekciót anélkül, hogy károsítaná a csatlakozót vagy a kábelt. A 6-féle kiválasztható nyomatékbeállítás biztosítja, hogy a préselési erő mindig az adott feladathoz legyen igazítva, így elősegítve a hosszú távú, megbízható kapcsolatok létrehozását. 
A Pro'skit 6PK-230PA préselő fogóval a koax kábelek csatlakoztatása gyorsabbá, egyszerűbbé és pontosabbá válik. Ne hagyja, hogy a koax csatlakozók préselése fejfájást okozzon.</t>
        </is>
      </c>
    </row>
    <row r="2068">
      <c r="A2068" s="3" t="inlineStr">
        <is>
          <t>TW 3-6</t>
        </is>
      </c>
      <c r="B2068" s="2" t="inlineStr">
        <is>
          <t>Home TW 3-6 préselő fogó, telefondugóhoz, 210 mm, 3 mérethez, 2 csupaszolási hossz, ABS műanyag</t>
        </is>
      </c>
      <c r="C2068" s="1" t="n">
        <v>3990.0</v>
      </c>
      <c r="D2068" s="7" t="n">
        <f>HYPERLINK("https://www.somogyi.hu/product/home-tw-3-6-preselo-fogo-telefondugohoz-210-mm-3-merethez-2-csupaszolasi-hossz-abs-muanyag-tw-3-6-4718","https://www.somogyi.hu/product/home-tw-3-6-preselo-fogo-telefondugohoz-210-mm-3-merethez-2-csupaszolasi-hossz-abs-muanyag-tw-3-6-4718")</f>
        <v>0.0</v>
      </c>
      <c r="E2068" s="7" t="n">
        <f>HYPERLINK("https://www.somogyi.hu/data/img/product_main_images/small/04718.jpg","https://www.somogyi.hu/data/img/product_main_images/small/04718.jpg")</f>
        <v>0.0</v>
      </c>
      <c r="F2068" s="2" t="inlineStr">
        <is>
          <t>5998312741634</t>
        </is>
      </c>
      <c r="G2068" s="4" t="inlineStr">
        <is>
          <t>Egy sokrétű megoldást keres a telefoncsatlakozók préseléséhez, vágásához és csupaszolásához? A Home TW 3-6 préselő fogó pontosan az, amire szüksége van. 
Ez a 210 mm hosszúságú, strapabíró ABS műanyagból készült eszköz kifejezetten a telefondugókhoz való munkálatok elvégzésére lett tervezve, így ideális választás otthoni és szakmai használatra egyaránt. A fogó kompatibilis a 4/4, 6/6 és 8/8 csatlakozókkal, így széles körű alkalmazást biztosít különböző típusú telekommunikációs projektekhez. Két különböző csupaszolási hossz (6/12 mm) áll rendelkezésre, amely lehetővé teszi a vezetékek méretének megfelelő pontos és gyors előkészítését. A széles vágóélekkel rendelkező Home TW 3-6 nem csak présel, hanem vág és csupaszol is, ami többfunkciós megoldást nyújt az összes telekommunikációs feladathoz. Ez a sokoldalúság időt és energiát takarít meg Önnek, mivel nem kell több különböző eszközt vinnie és váltogatnia a munka során.
Ne engedje, hogy a telekommunikációs feladatok kihívást jelentsenek! A Home TW 3-6 préselő fogóval egyszerűvé és hatékonnyá válik minden telefondugóval kapcsolatos munka.</t>
        </is>
      </c>
    </row>
    <row r="2069">
      <c r="A2069" s="3" t="inlineStr">
        <is>
          <t>6PK-230C</t>
        </is>
      </c>
      <c r="B2069" s="2" t="inlineStr">
        <is>
          <t>Pro'skit 6PK-230C préselő fogó, 220 mm, 0,5 - 6 mm^2-ig, racsnis áttétel, 6 féle nyomaték</t>
        </is>
      </c>
      <c r="C2069" s="1" t="n">
        <v>15690.0</v>
      </c>
      <c r="D2069" s="7" t="n">
        <f>HYPERLINK("https://www.somogyi.hu/product/pro-skit-6pk-230c-preselo-fogo-220-mm-0-5-6-mm-2-ig-racsnis-attetel-6-fele-nyomatek-6pk-230c-4677","https://www.somogyi.hu/product/pro-skit-6pk-230c-preselo-fogo-220-mm-0-5-6-mm-2-ig-racsnis-attetel-6-fele-nyomatek-6pk-230c-4677")</f>
        <v>0.0</v>
      </c>
      <c r="E2069" s="7" t="n">
        <f>HYPERLINK("https://www.somogyi.hu/data/img/product_main_images/small/04677.jpg","https://www.somogyi.hu/data/img/product_main_images/small/04677.jpg")</f>
        <v>0.0</v>
      </c>
      <c r="F2069" s="2" t="inlineStr">
        <is>
          <t>5998312741276</t>
        </is>
      </c>
      <c r="G2069" s="4" t="inlineStr">
        <is>
          <t>Azt az eszközt keresi, ami megbízható segítséget nyújt szigeteletlen saruk préseléséhez? A Pro'skit 6PK-230C préselő fogó az ideális választás minden profi és hobbi elektronikai munkához.
Ezzel a 220 mm hosszú fogóval könnyedén és precízen préselhet szigeteletlen sarukat a 0,5 mm²-től 6 mm²-ig terjedő méretskálán. A racsnis áttétellel és automatikus reteszeléssel rendelkező kialakítás biztosítja, hogy minden préselés pontos és biztonságos legyen. Ha mégis hibás préselés történne, a fogóban található oldható retesz lehetővé teszi, hogy gyorsan korrigálhassa a hibát anélkül, hogy kárt tenne az alkatrészben vagy magában az eszközben. A 6-féle kiválasztható nyomatékbeállítási lehetőség révén a Pro'skit 6PK-230C préselő fogó rendkívül sokoldalú; lehetővé teszi, hogy minden méretű és típusú szigeteletlen sarkot pontosan és megbízhatóan préseljen, a projektjének megfelelően.
Ne engedje, hogy az eszközök hiánya vagy pontatlansága hátráltassa munkáját. A Pro'skit 6PK-230C préselő fogóval professzionális eredményeket érhet el minden egyes használatkor.</t>
        </is>
      </c>
    </row>
    <row r="2070">
      <c r="A2070" s="6" t="inlineStr">
        <is>
          <t xml:space="preserve">   Mérés, szerszám, forrasztás / Csavarhúzó és szerszámkészlet</t>
        </is>
      </c>
      <c r="B2070" s="6" t="inlineStr">
        <is>
          <t/>
        </is>
      </c>
      <c r="C2070" s="6" t="inlineStr">
        <is>
          <t/>
        </is>
      </c>
      <c r="D2070" s="6" t="inlineStr">
        <is>
          <t/>
        </is>
      </c>
      <c r="E2070" s="6" t="inlineStr">
        <is>
          <t/>
        </is>
      </c>
      <c r="F2070" s="6" t="inlineStr">
        <is>
          <t/>
        </is>
      </c>
      <c r="G2070" s="6" t="inlineStr">
        <is>
          <t/>
        </is>
      </c>
    </row>
    <row r="2071">
      <c r="A2071" s="3" t="inlineStr">
        <is>
          <t>HW-229B</t>
        </is>
      </c>
      <c r="B2071" s="2" t="inlineStr">
        <is>
          <t>Home HW-229B imbuszkulcskészlet, gömbfejű fél, króm-vandánium, 9 darabos</t>
        </is>
      </c>
      <c r="C2071" s="1" t="n">
        <v>3990.0</v>
      </c>
      <c r="D2071" s="7" t="n">
        <f>HYPERLINK("https://www.somogyi.hu/product/home-hw-229b-imbuszkulcskeszlet-gombfeju-fel-krom-vandanium-9-darabos-hw-229b-11878","https://www.somogyi.hu/product/home-hw-229b-imbuszkulcskeszlet-gombfeju-fel-krom-vandanium-9-darabos-hw-229b-11878")</f>
        <v>0.0</v>
      </c>
      <c r="E2071" s="7" t="n">
        <f>HYPERLINK("https://www.somogyi.hu/data/img/product_main_images/small/11878.jpg","https://www.somogyi.hu/data/img/product_main_images/small/11878.jpg")</f>
        <v>0.0</v>
      </c>
      <c r="F2071" s="2" t="inlineStr">
        <is>
          <t>5999084900908</t>
        </is>
      </c>
      <c r="G2071" s="4" t="inlineStr">
        <is>
          <t>A tökéletes imbuszkulcskészletet keresi hobbi vagy szakmai felhasználáshoz? A Pro'skit HW-229B imbuszkulcskészlet pont az, amire szüksége van. 
Ez a 9 darabos készlet minden méretet tartalmaz, amire csak szüksége lehet, az 1,5-ös mérettől egészen a 10-es méretig, így biztosítva, hogy mindig kéznél legyen a megfelelő eszköz.
A kulcsok egyik végén található gömbfej lehetővé teszi a felhasználó számára, hogy akár 25 fokos szögben is dolgozhasson, növelve ezzel a hozzáférési lehetőségeket szűk helyeken. A hosszú szárú kialakítás további nyomatékot biztosít, így még a legmakacsabb csavarokkal is könnyedén megbirkózhat.
Króm-vanádiumból készültek, rendkívül tartósak és ellenállóak, így hosszú távon is megbízható társai lesznek munkájában. A praktikus tartóban történő tárolás pedig biztosítja, hogy az eszközök rendezetten és könnyen hozzáférhetően maradjanak, miközben a munkahelyen vagy otthon van.
Akár szakmai, akár személyes projektekhez keresi a tökéletes imbuszkulcskészletet, a Pro'skit HW-229B minden igényt kielégít.</t>
        </is>
      </c>
    </row>
    <row r="2072">
      <c r="A2072" s="3" t="inlineStr">
        <is>
          <t>CSH 1</t>
        </is>
      </c>
      <c r="B2072" s="2" t="inlineStr">
        <is>
          <t>Home CSH 1 műszerész csavarhúzókészlet, forgó tenyérvédő, 6 darabos</t>
        </is>
      </c>
      <c r="C2072" s="1" t="n">
        <v>959.0</v>
      </c>
      <c r="D2072" s="7" t="n">
        <f>HYPERLINK("https://www.somogyi.hu/product/home-csh-1-muszeresz-csavarhuzokeszlet-forgo-tenyervedo-6-darabos-csh-1-2060","https://www.somogyi.hu/product/home-csh-1-muszeresz-csavarhuzokeszlet-forgo-tenyervedo-6-darabos-csh-1-2060")</f>
        <v>0.0</v>
      </c>
      <c r="E2072" s="7" t="n">
        <f>HYPERLINK("https://www.somogyi.hu/data/img/product_main_images/small/02060.jpg","https://www.somogyi.hu/data/img/product_main_images/small/02060.jpg")</f>
        <v>0.0</v>
      </c>
      <c r="F2072" s="2" t="inlineStr">
        <is>
          <t>5998312722879</t>
        </is>
      </c>
      <c r="G2072" s="4" t="inlineStr">
        <is>
          <t>Biztos benne, hogy rendelkezik minden szükséges eszközzel precíz és műszerészeti munkákhoz? A Home CSH 1 műszerész csavarhúzókészlet minden olyan finommechanikai feladathoz ideális, ahol a precizitás és az ergonómia elengedhetetlen. 
A készlet tartalmaz 6 különböző méretű, magas minőségű fém csavarhúzót, amelyek kifejezetten a kisméretű és pontos munkákhoz lettek tervezve. A csavarhúzók forgó tenyérvédő kupakkal vannak ellátva, amelyek lehetővé teszik a gyors és hatékony munkavégzést, valamint a csavarok könnyed kontroll alatt tartását. A készletben található lapos (1,4; 2; 2,4; 3) és Phillips (PH0, PH1) fejű változatok, amelyek megfelelnek a legtöbb általános és speciális feladatnak.
A Home CSH 1 műszerész csavarhúzókészlet ideális választás otthoni és professzionális felhasználásra egyaránt, legyen szó elektronikáról, órajavításról vagy más finom mechanikai munkáról.</t>
        </is>
      </c>
    </row>
    <row r="2073">
      <c r="A2073" s="3" t="inlineStr">
        <is>
          <t>SD-081H</t>
        </is>
      </c>
      <c r="B2073" s="2" t="inlineStr">
        <is>
          <t>Home SD-081H precíziós csavarhúzó készlet, Apple specifikus, króm-molibdén-vandánium, forgó markolatvég, 4 fejtípus, 7 darabos</t>
        </is>
      </c>
      <c r="C2073" s="1" t="n">
        <v>10190.0</v>
      </c>
      <c r="D2073" s="7" t="n">
        <f>HYPERLINK("https://www.somogyi.hu/product/home-sd-081h-precizios-csavarhuzo-keszlet-apple-specifikus-krom-molibden-vandanium-forgo-markolatveg-4-fejtipus-7-darabos-sd-081h-17515","https://www.somogyi.hu/product/home-sd-081h-precizios-csavarhuzo-keszlet-apple-specifikus-krom-molibden-vandanium-forgo-markolatveg-4-fejtipus-7-darabos-sd-081h-17515")</f>
        <v>0.0</v>
      </c>
      <c r="E2073" s="7" t="n">
        <f>HYPERLINK("https://www.somogyi.hu/data/img/product_main_images/small/17515.jpg","https://www.somogyi.hu/data/img/product_main_images/small/17515.jpg")</f>
        <v>0.0</v>
      </c>
      <c r="F2073" s="2" t="inlineStr">
        <is>
          <t>5999084955373</t>
        </is>
      </c>
      <c r="G2073" s="4" t="inlineStr">
        <is>
          <t>Van megoldása az összes elektronikai eszközének finom javítására, legyen az Apple vagy Android? A Pro'skit SD-081H precíziós csavarhúzó készlet az, amire szüksége van. 
Ez a készlet kifejezetten azokra a kihívásokra lett tervezve, amelyekkel az iOS és Android eszközök, notebookok, fényképezőgépek, videokamerák és okosórák javításakor szembesülhet.
A készletben található Apple specifikus Pentalobe és Tri-point fejek, valamint további négyféle fejtípus biztosítják, hogy rendelkezésre álljon a megfelelő eszköz minden lehetséges javításhoz. A 7 db-os csavarhúzókészlet Chrome-Molybdenum Vanadium acélból készült, ami hosszú élettartamot és kiváló ellenállóságot garantál.
A csavarhúzók csúszásmentes, forgó markolatvége megkönnyíti a használatot, mivel nem kell felemelni őket a csavarozás közben, lehetővé téve a pontos és folyamatos munkavégzést. A készlet tartalmaz lapos fejeket (2.0, 2.4), Phillips (#000, #00, #0), Tri-Point (TRIY06 az iPhone és Apple Watch esetében) és Pentalobe (TS1 Apple termékekhez) csavarhúzókat, így minden szükséges eszköz kéznél van. Mindezek egy praktikus műanyag tároló dobozban érkeznek, így a csavarhúzók rendezetten és könnyen hordozhatóan maradnak. 
A Pro'skit SD-081H precíziós csavarhúzó bármilyen elektronikai javítási munka gyerekjáték lesz.</t>
        </is>
      </c>
    </row>
    <row r="2074">
      <c r="A2074" s="3" t="inlineStr">
        <is>
          <t>8PK-8100</t>
        </is>
      </c>
      <c r="B2074" s="2" t="inlineStr">
        <is>
          <t>Home 8PK-8100 szigetelt csavarhúzókészlet, max 1000 V~, króm-vandánium, mágnesezett fejek, 7 darabos</t>
        </is>
      </c>
      <c r="C2074" s="1" t="n">
        <v>8990.0</v>
      </c>
      <c r="D2074" s="7" t="n">
        <f>HYPERLINK("https://www.somogyi.hu/product/home-8pk-8100-szigetelt-csavarhuzokeszlet-max-1000-v-krom-vandanium-magnesezett-fejek-7-darabos-8pk-8100-4488","https://www.somogyi.hu/product/home-8pk-8100-szigetelt-csavarhuzokeszlet-max-1000-v-krom-vandanium-magnesezett-fejek-7-darabos-8pk-8100-4488")</f>
        <v>0.0</v>
      </c>
      <c r="E2074" s="7" t="n">
        <f>HYPERLINK("https://www.somogyi.hu/data/img/product_main_images/small/04488.jpg","https://www.somogyi.hu/data/img/product_main_images/small/04488.jpg")</f>
        <v>0.0</v>
      </c>
      <c r="F2074" s="2" t="inlineStr">
        <is>
          <t>5998312739501</t>
        </is>
      </c>
      <c r="G2074" s="4" t="inlineStr">
        <is>
          <t>Milyen csavarhúzó készlettel biztosíthatja az otthoni és szakipari munkák biztonságát és hatékonyságát? A Pro'skit 8PK-8100 szigetelt csavarhúzókészletet kifejezetten azok számára tervezték, akik maximális védelmet igényelnek elektromos munkák során. 
Ez a 7 darabos készlet kiemelkedő biztonságot nyújt akár 1000 V~ feszültségig, így minden szakember és hobbibarkácsoló számára ideális választás.
A készlet tartalmazza azokat a króm-vanádium acélból készült csavarhúzókat, amelyek nemcsak strapabírók, de az erősen felmágnesezett fejeknek köszönhetően rendkívül praktikusak is. Ezek a fejek megkönnyítik a munkát, mert a csavarokat könnyedén tartják meg, ami különösen hasznos szűk helyeken vagy nehezen hozzáférhető területeken.
A Pro'skit 8PK-8100 csavarhúzókészletet a megbízhatóság és a tartósság jellemzi. Válassza ezt a készletet, hogy minden elektromos munkáját biztonságosan és pontosan végezhesse el.</t>
        </is>
      </c>
    </row>
    <row r="2075">
      <c r="A2075" s="3" t="inlineStr">
        <is>
          <t>DE 418679</t>
        </is>
      </c>
      <c r="B2075" s="2" t="inlineStr">
        <is>
          <t>Home DE418679 szerszámkészlet, mágneses csavarhúzó, 20 bitfej, többféle szerszám, 24 darabos</t>
        </is>
      </c>
      <c r="C2075" s="1" t="n">
        <v>9790.0</v>
      </c>
      <c r="D2075" s="7" t="n">
        <f>HYPERLINK("https://www.somogyi.hu/product/home-de418679-szerszamkeszlet-magneses-csavarhuzo-20-bitfej-tobbfele-szerszam-24-darabos-de-418679-18164","https://www.somogyi.hu/product/home-de418679-szerszamkeszlet-magneses-csavarhuzo-20-bitfej-tobbfele-szerszam-24-darabos-de-418679-18164")</f>
        <v>0.0</v>
      </c>
      <c r="E2075" s="7" t="n">
        <f>HYPERLINK("https://www.somogyi.hu/data/img/product_main_images/small/18164.jpg","https://www.somogyi.hu/data/img/product_main_images/small/18164.jpg")</f>
        <v>0.0</v>
      </c>
      <c r="F2075" s="2" t="inlineStr">
        <is>
          <t>5999084961862</t>
        </is>
      </c>
      <c r="G2075" s="4" t="inlineStr">
        <is>
          <t xml:space="preserve"> • általános, háztartási használatra 
 • mágneses csavarhúzó, 155mm 
 • 20db bit-fej, 4 féle szabvány szerint  
 • kombinált fogó, 165mm  
 • karmos szeghúzó kalapács, 160mm, 8oz   
 • állítható csavarkulcs, 150mm / 20mm 
 • műanyag tárolódobozban 
 • 280 x 45 x 185 mm / 1,2kg</t>
        </is>
      </c>
    </row>
    <row r="2076">
      <c r="A2076" s="3" t="inlineStr">
        <is>
          <t>DE 101505</t>
        </is>
      </c>
      <c r="B2076" s="2" t="inlineStr">
        <is>
          <t>Home DE101505 csavarhúzókészlet, mágneses, racsnis és irányváltós, 1/4", 101 darabos</t>
        </is>
      </c>
      <c r="C2076" s="1" t="n">
        <v>11290.0</v>
      </c>
      <c r="D2076" s="7" t="n">
        <f>HYPERLINK("https://www.somogyi.hu/product/home-de101505-csavarhuzokeszlet-magneses-racsnis-es-iranyvaltos-1-4-101-darabos-de-101505-13818","https://www.somogyi.hu/product/home-de101505-csavarhuzokeszlet-magneses-racsnis-es-iranyvaltos-1-4-101-darabos-de-101505-13818")</f>
        <v>0.0</v>
      </c>
      <c r="E2076" s="7" t="n">
        <f>HYPERLINK("https://www.somogyi.hu/data/img/product_main_images/small/13818.jpg","https://www.somogyi.hu/data/img/product_main_images/small/13818.jpg")</f>
        <v>0.0</v>
      </c>
      <c r="F2076" s="2" t="inlineStr">
        <is>
          <t>5999084918705</t>
        </is>
      </c>
      <c r="G2076" s="4" t="inlineStr">
        <is>
          <t>Megvan minden szükséges bitfeje a különféle csavarfejekhez, vagy csak egyetlen, univerzális megoldásra vágyik? A Home DE 101505 csavarhúzókészlet 101 darabos kínálata minden igényt kielégít. 
A racsnis, irányváltós markolat, mely rögzíthető és gumírozott a kényelmes fogásért, mágneses végű, így a bitek könnyedén cserélhetők, 150 mm hosszúságú, ami még a nehezen hozzáférhető helyeket is elérhetővé teszi.
Az adapterek méretei – 25 mm és 50 mm –, valamint a 60 mm hosszú mágneses toldó tovább növelik a készlet sokoldalúságát. A tartós Cr-V bitek széles választékban érhetők el: lapos, Phillips, pozidrive, Torx és biztonsági Torx, hatlapú és biztonsági hatlapú, valamint speciális fejek, mint négylapú, négyszárú, háromszárú, villás, clutch és bordás tipusok is helyet kapnak a kínálatban. Mindezeket a praktikus tárolódoboz teszi könnyen hordozhatóvá és rendszerezetté.
Legyen szó bútorösszeszerelésre vagy a legapróbb elektronikai szerelési munkákról, a Home DE 101505 csavarhúzókészlet minden helyzetben az Ön oldalán áll.</t>
        </is>
      </c>
    </row>
    <row r="2077">
      <c r="A2077" s="6" t="inlineStr">
        <is>
          <t xml:space="preserve">   Mérés, szerszám, forrasztás / Nagyító, paneltartó</t>
        </is>
      </c>
      <c r="B2077" s="6" t="inlineStr">
        <is>
          <t/>
        </is>
      </c>
      <c r="C2077" s="6" t="inlineStr">
        <is>
          <t/>
        </is>
      </c>
      <c r="D2077" s="6" t="inlineStr">
        <is>
          <t/>
        </is>
      </c>
      <c r="E2077" s="6" t="inlineStr">
        <is>
          <t/>
        </is>
      </c>
      <c r="F2077" s="6" t="inlineStr">
        <is>
          <t/>
        </is>
      </c>
      <c r="G2077" s="6" t="inlineStr">
        <is>
          <t/>
        </is>
      </c>
    </row>
    <row r="2078">
      <c r="A2078" s="3" t="inlineStr">
        <is>
          <t>MA-019</t>
        </is>
      </c>
      <c r="B2078" s="2" t="inlineStr">
        <is>
          <t>Pro'skit MA-019 kézi nagyító világítással, bankjegyvizsgáló, 56 mm átmérő, 3x nagyítás</t>
        </is>
      </c>
      <c r="C2078" s="1" t="n">
        <v>5190.0</v>
      </c>
      <c r="D2078" s="7" t="n">
        <f>HYPERLINK("https://www.somogyi.hu/product/pro-skit-ma-019-kezi-nagyito-vilagitassal-bankjegyvizsgalo-56-mm-atmero-3x-nagyitas-ma-019-11871","https://www.somogyi.hu/product/pro-skit-ma-019-kezi-nagyito-vilagitassal-bankjegyvizsgalo-56-mm-atmero-3x-nagyitas-ma-019-11871")</f>
        <v>0.0</v>
      </c>
      <c r="E2078" s="7" t="n">
        <f>HYPERLINK("https://www.somogyi.hu/data/img/product_main_images/small/11871.jpg","https://www.somogyi.hu/data/img/product_main_images/small/11871.jpg")</f>
        <v>0.0</v>
      </c>
      <c r="F2078" s="2" t="inlineStr">
        <is>
          <t>5999084900830</t>
        </is>
      </c>
      <c r="G2078" s="4" t="inlineStr">
        <is>
          <t>Gondolkodott már azon, hogy milyen lenne egy nagyító, ami nem csak erőteljes nagyítást kínál, de a rossz fényviszonyok között is tökéletesen használható? A Pro'skit MA-019 kézi nagyító világítással pontosan ilyen. 
Ez a készülék 8 db LED-del rendelkezik a fokozott világításért, valamint egy UV LED-del, ami bankjegyvizsgálóként is funkcionál, így egy sokoldalú eszközt nyújt a mindennapi használathoz és speciális alkalmazásokhoz egyaránt.
A minőségi üveglencse biztosítja a tiszta és torzításmentes képet, melynek átmérője ∅56 mm, így széles látómezőt kínál a felhasználónak. A 3x-os nagyítás (8 dioptria) tökéletes választás azok számára, akik részletekben gazdag és éles képre vágynak, legyen szó szöveg olvasásáról, hobbiról, vagy akár ékszerek és bankjegyek vizsgálatáról. A Pro'skit MA-019 kézi nagyító egy elektronikus kapcsolóval van ellátva, ami lehetővé teszi a világítás egyszerű kezelését, így a felhasználó könnyedén váltogathat a normál LED és az UV LED között, attól függően, hogy milyen típusú vizsgálatot végez. Az eszköz 3 x 1,5 V (AAA) elemmel működik, amelyek nem részei a csomagnak, így azokat külön kell beszerezni.
Ne hagyja, hogy a rossz fényviszonyok vagy a kis részletek nehezítsék a munkáját vagy a hobbiját!</t>
        </is>
      </c>
    </row>
    <row r="2079">
      <c r="A2079" s="3" t="inlineStr">
        <is>
          <t>MA-022</t>
        </is>
      </c>
      <c r="B2079" s="2" t="inlineStr">
        <is>
          <t>Pro'skit MA-022 kézi nagyító világítással, bankjegyvizsgáló, 27 mm átmérő, 7,5x nagyítás</t>
        </is>
      </c>
      <c r="C2079" s="1" t="n">
        <v>1990.0</v>
      </c>
      <c r="D2079" s="7" t="n">
        <f>HYPERLINK("https://www.somogyi.hu/product/pro-skit-ma-022-kezi-nagyito-vilagitassal-bankjegyvizsgalo-27-mm-atmero-7-5x-nagyitas-ma-022-11870","https://www.somogyi.hu/product/pro-skit-ma-022-kezi-nagyito-vilagitassal-bankjegyvizsgalo-27-mm-atmero-7-5x-nagyitas-ma-022-11870")</f>
        <v>0.0</v>
      </c>
      <c r="E2079" s="7" t="n">
        <f>HYPERLINK("https://www.somogyi.hu/data/img/product_main_images/small/11870.jpg","https://www.somogyi.hu/data/img/product_main_images/small/11870.jpg")</f>
        <v>0.0</v>
      </c>
      <c r="F2079" s="2" t="inlineStr">
        <is>
          <t>5999084900823</t>
        </is>
      </c>
      <c r="G2079" s="4" t="inlineStr">
        <is>
          <t>Van már olyan nagyítója, amely kiemelkedő nagyítással és integrált világítással rendelkezik, mégis kis méretben? A Pro'skit MA-022 kézi nagyító világítással egy kompakt, mégis rendkívül hatékony eszköz, amely a 7,5x-es (26 dioptria) nagyításával és a beépített LED világítással kiemelkedik a többi nagyító közül. 
Ez a modell egyedülállóan alkalmas apró részletek, mint például ékszerek, bankjegyek, bélyegek vagy elektronikai alkatrészek vizsgálatára.
A nagyító világítása egy erős LED-ből áll, ami biztosítja, hogy a megfigyelt tárgyak mindig jól megvilágítottak legyenek, még rossz fényviszonyok között is. Ezenkívül egy UV LED is beépítésre került, amely különösen hasznos bankjegyek hitelességének ellenőrzéséhez.
A minőségi üveglencse és a ∅27 mm átmérője garantálja, hogy a vizsgált tárgyak tiszta és éles képet mutassanak. A nagyító nyomókapcsolóval könnyen bekapcsolható, míg a funkcióváltás egyszerű tolókapcsolóval történik, így a felhasználó gyorsan váltogathat a normál LED és az UV LED világítás között.
A tápellátás 2 x 3 V (CR2016) gombelemmel történik, amelyek növelik a készülék hordozhatóságát és kényelmes használatát; fontos megjegyezni, hogy az elemek nem részei a csomagnak.
A Pro'skit MA-022 kézi nagyító világítással ideális választás mindazok számára, akik egy kompakt, de nagy teljesítményű nagyítót keresnek apró részletek vizsgálatához.</t>
        </is>
      </c>
    </row>
    <row r="2080">
      <c r="A2080" s="6" t="inlineStr">
        <is>
          <t xml:space="preserve">   Mérés, szerszám, forrasztás / Csipesz</t>
        </is>
      </c>
      <c r="B2080" s="6" t="inlineStr">
        <is>
          <t/>
        </is>
      </c>
      <c r="C2080" s="6" t="inlineStr">
        <is>
          <t/>
        </is>
      </c>
      <c r="D2080" s="6" t="inlineStr">
        <is>
          <t/>
        </is>
      </c>
      <c r="E2080" s="6" t="inlineStr">
        <is>
          <t/>
        </is>
      </c>
      <c r="F2080" s="6" t="inlineStr">
        <is>
          <t/>
        </is>
      </c>
      <c r="G2080" s="6" t="inlineStr">
        <is>
          <t/>
        </is>
      </c>
    </row>
    <row r="2081">
      <c r="A2081" s="3" t="inlineStr">
        <is>
          <t>908-T301</t>
        </is>
      </c>
      <c r="B2081" s="2" t="inlineStr">
        <is>
          <t>Home 908-T301 műszerészcsipesz-pár, 150 mm, egyenes és 45'-ban hajlított, szigetelt bevonat</t>
        </is>
      </c>
      <c r="C2081" s="1" t="n">
        <v>1550.0</v>
      </c>
      <c r="D2081" s="7" t="n">
        <f>HYPERLINK("https://www.somogyi.hu/product/home-908-t301-muszereszcsipesz-par-150-mm-egyenes-es-45-ban-hajlitott-szigetelt-bevonat-908-t301-4757","https://www.somogyi.hu/product/home-908-t301-muszereszcsipesz-par-150-mm-egyenes-es-45-ban-hajlitott-szigetelt-bevonat-908-t301-4757")</f>
        <v>0.0</v>
      </c>
      <c r="E2081" s="7" t="n">
        <f>HYPERLINK("https://www.somogyi.hu/data/img/product_main_images/small/04757.jpg","https://www.somogyi.hu/data/img/product_main_images/small/04757.jpg")</f>
        <v>0.0</v>
      </c>
      <c r="F2081" s="2" t="inlineStr">
        <is>
          <t>5998312742006</t>
        </is>
      </c>
      <c r="G2081" s="4" t="inlineStr">
        <is>
          <t>Van már eszköze, amellyel a legapróbb alkatrészeket is precízen megfoghatja? A Pro'skit 908-T301 műszerészcsipesz-pár minden finommechanikai és elektronikai munkához elengedhetetlen.
Ezek a 150 mm hosszú csipeszek egyenes és 45°-ban hajlított végkialakítással rendelkeznek, így tökéletesen alkalmazkodnak minden szituációhoz, legyen szükség közvetlen megfogásra vagy szűk helyeken való munkára.
A recés fogófelület biztosítja a csúszásmentes fogást még a legkisebb és legfinomabb alkatrészek esetében is, megkönnyítve a precíz pozicionálást és tartást. A szigetelő bevonat nemcsak megvédi a kezét, hanem növeli az eszközök biztonságát is elektromos munkák során, csökkentve az áramütés kockázatát.
A Pro'skit 908-T301 műszerészcsipesz-pár kiváló választás minden szakember számára, aki az elektronikai javítások, modellezés vagy finommechanikai munkák területén dolgozik.</t>
        </is>
      </c>
    </row>
    <row r="2082">
      <c r="A2082" s="6" t="inlineStr">
        <is>
          <t xml:space="preserve">   Mérés, szerszám, forrasztás / Kábelkötegelő, kábelbilincs</t>
        </is>
      </c>
      <c r="B2082" s="6" t="inlineStr">
        <is>
          <t/>
        </is>
      </c>
      <c r="C2082" s="6" t="inlineStr">
        <is>
          <t/>
        </is>
      </c>
      <c r="D2082" s="6" t="inlineStr">
        <is>
          <t/>
        </is>
      </c>
      <c r="E2082" s="6" t="inlineStr">
        <is>
          <t/>
        </is>
      </c>
      <c r="F2082" s="6" t="inlineStr">
        <is>
          <t/>
        </is>
      </c>
      <c r="G2082" s="6" t="inlineStr">
        <is>
          <t/>
        </is>
      </c>
    </row>
    <row r="2083">
      <c r="A2083" s="3" t="inlineStr">
        <is>
          <t>CT 300/4,8/B</t>
        </is>
      </c>
      <c r="B2083" s="2" t="inlineStr">
        <is>
          <t>Home CT 300/4,8/B kábelkötegelő, 4,8 mm széles, 300 mm hosszú, 25 db, fekete</t>
        </is>
      </c>
      <c r="C2083" s="1" t="n">
        <v>799.0</v>
      </c>
      <c r="D2083" s="7" t="n">
        <f>HYPERLINK("https://www.somogyi.hu/product/home-ct-300-4-8-b-kabelkotegelo-4-8-mm-szeles-300-mm-hosszu-25-db-fekete-ct-300-4-8-b-13098","https://www.somogyi.hu/product/home-ct-300-4-8-b-kabelkotegelo-4-8-mm-szeles-300-mm-hosszu-25-db-fekete-ct-300-4-8-b-13098")</f>
        <v>0.0</v>
      </c>
      <c r="E2083" s="7" t="n">
        <f>HYPERLINK("https://www.somogyi.hu/data/img/product_main_images/small/13098.jpg","https://www.somogyi.hu/data/img/product_main_images/small/13098.jpg")</f>
        <v>0.0</v>
      </c>
      <c r="F2083" s="2" t="inlineStr">
        <is>
          <t>5999084912796</t>
        </is>
      </c>
      <c r="G2083"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300/4,8/B fekete színű kábelkötegelő, 300 mm hosszúságban, 4,8 mm szélességben, valamint 25 db/csomagban kapható. Válassza a minőségi termékeket és rendeljen webáruházunkból.</t>
        </is>
      </c>
    </row>
    <row r="2084">
      <c r="A2084" s="3" t="inlineStr">
        <is>
          <t>CT 150/3,5/B</t>
        </is>
      </c>
      <c r="B2084" s="2" t="inlineStr">
        <is>
          <t>Home CT 150/3,5/B kábelkötegelő, 3,5 mm széles, 150 mm hosszú, 50 db, fekete</t>
        </is>
      </c>
      <c r="C2084" s="1" t="n">
        <v>599.0</v>
      </c>
      <c r="D2084" s="7" t="n">
        <f>HYPERLINK("https://www.somogyi.hu/product/home-ct-150-3-5-b-kabelkotegelo-3-5-mm-szeles-150-mm-hosszu-50-db-fekete-ct-150-3-5-b-13094","https://www.somogyi.hu/product/home-ct-150-3-5-b-kabelkotegelo-3-5-mm-szeles-150-mm-hosszu-50-db-fekete-ct-150-3-5-b-13094")</f>
        <v>0.0</v>
      </c>
      <c r="E2084" s="7" t="n">
        <f>HYPERLINK("https://www.somogyi.hu/data/img/product_main_images/small/13094.jpg","https://www.somogyi.hu/data/img/product_main_images/small/13094.jpg")</f>
        <v>0.0</v>
      </c>
      <c r="F2084" s="2" t="inlineStr">
        <is>
          <t>5999084912758</t>
        </is>
      </c>
      <c r="G2084"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150/3,5B fekete színű kábelkötegelő, 150 m hosszúságban, 3,5 m szélességben, valamint 50 db/csomagban kapható. Válassza a minőségi termékeket és rendeljen webáruházunkból.</t>
        </is>
      </c>
    </row>
    <row r="2085">
      <c r="A2085" s="3" t="inlineStr">
        <is>
          <t>CT 100/2,5/B</t>
        </is>
      </c>
      <c r="B2085" s="2" t="inlineStr">
        <is>
          <t>Home CT 100/2,5/B kábelkötegelő, 2,5 mm széles, 100 mm hosszú, 50 db, fekete</t>
        </is>
      </c>
      <c r="C2085" s="1" t="n">
        <v>319.0</v>
      </c>
      <c r="D2085" s="7" t="n">
        <f>HYPERLINK("https://www.somogyi.hu/product/home-ct-100-2-5-b-kabelkotegelo-2-5-mm-szeles-100-mm-hosszu-50-db-fekete-ct-100-2-5-b-13092","https://www.somogyi.hu/product/home-ct-100-2-5-b-kabelkotegelo-2-5-mm-szeles-100-mm-hosszu-50-db-fekete-ct-100-2-5-b-13092")</f>
        <v>0.0</v>
      </c>
      <c r="E2085" s="7" t="n">
        <f>HYPERLINK("https://www.somogyi.hu/data/img/product_main_images/small/13092.jpg","https://www.somogyi.hu/data/img/product_main_images/small/13092.jpg")</f>
        <v>0.0</v>
      </c>
      <c r="F2085" s="2" t="inlineStr">
        <is>
          <t>5999084912734</t>
        </is>
      </c>
      <c r="G2085"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100/2,5/B fekete színű kábelkötegelő, 100 mm hosszúságban, 2,5 mm szélességben, valamint 50 db/csomagban kapható. Válassza a minőségi termékeket és rendeljen webáruházunkból.</t>
        </is>
      </c>
    </row>
    <row r="2086">
      <c r="A2086" s="3" t="inlineStr">
        <is>
          <t>CT 400/4,8</t>
        </is>
      </c>
      <c r="B2086" s="2" t="inlineStr">
        <is>
          <t>Home CT 400/4,8 kábelkötegelő, 4,8 mm széles, 400 mm hosszú, 25 db, átlátszó</t>
        </is>
      </c>
      <c r="C2086" s="1" t="n">
        <v>1150.0</v>
      </c>
      <c r="D2086" s="7" t="n">
        <f>HYPERLINK("https://www.somogyi.hu/product/home-ct-400-4-8-kabelkotegelo-4-8-mm-szeles-400-mm-hosszu-25-db-atlatszo-ct-400-4-8-13090","https://www.somogyi.hu/product/home-ct-400-4-8-kabelkotegelo-4-8-mm-szeles-400-mm-hosszu-25-db-atlatszo-ct-400-4-8-13090")</f>
        <v>0.0</v>
      </c>
      <c r="E2086" s="7" t="n">
        <f>HYPERLINK("https://www.somogyi.hu/data/img/product_main_images/small/13090.jpg","https://www.somogyi.hu/data/img/product_main_images/small/13090.jpg")</f>
        <v>0.0</v>
      </c>
      <c r="F2086" s="2" t="inlineStr">
        <is>
          <t>5999084912710</t>
        </is>
      </c>
      <c r="G208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 transzparent színű kábelkötegelő, 400 mm hosszúságban, 4,8 mm szélességben, valamint 25 db/csomagban kapható. Válassza a minőségi termékeket és rendeljen webáruházunkból.</t>
        </is>
      </c>
    </row>
    <row r="2087">
      <c r="A2087" s="3" t="inlineStr">
        <is>
          <t>CT 300/4,8</t>
        </is>
      </c>
      <c r="B2087" s="2" t="inlineStr">
        <is>
          <t>Home CT 300/4,8 kábelkötegelő, 4,8 mm széles, 300 mm hosszú, 25 db, átlátszó</t>
        </is>
      </c>
      <c r="C2087" s="1" t="n">
        <v>799.0</v>
      </c>
      <c r="D2087" s="7" t="n">
        <f>HYPERLINK("https://www.somogyi.hu/product/home-ct-300-4-8-kabelkotegelo-4-8-mm-szeles-300-mm-hosszu-25-db-atlatszo-ct-300-4-8-13089","https://www.somogyi.hu/product/home-ct-300-4-8-kabelkotegelo-4-8-mm-szeles-300-mm-hosszu-25-db-atlatszo-ct-300-4-8-13089")</f>
        <v>0.0</v>
      </c>
      <c r="E2087" s="7" t="n">
        <f>HYPERLINK("https://www.somogyi.hu/data/img/product_main_images/small/13089.jpg","https://www.somogyi.hu/data/img/product_main_images/small/13089.jpg")</f>
        <v>0.0</v>
      </c>
      <c r="F2087" s="2" t="inlineStr">
        <is>
          <t>5999084912703</t>
        </is>
      </c>
      <c r="G2087"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 transzparent színű kábelkötegelő, 300 mm hosszúságban, 4,8 mm szélességben, valamint 25 db/csomagban kapható. Válassza a minőségi termékeket és rendeljen webáruházunkból.</t>
        </is>
      </c>
    </row>
    <row r="2088">
      <c r="A2088" s="3" t="inlineStr">
        <is>
          <t>CT 250/4,8</t>
        </is>
      </c>
      <c r="B2088" s="2" t="inlineStr">
        <is>
          <t>Home CT 250/4,8 kábelkötegelő, 4,8 mm széles, 250 mm hosszú, 25 db, átlátszó</t>
        </is>
      </c>
      <c r="C2088" s="1" t="n">
        <v>699.0</v>
      </c>
      <c r="D2088" s="7" t="n">
        <f>HYPERLINK("https://www.somogyi.hu/product/home-ct-250-4-8-kabelkotegelo-4-8-mm-szeles-250-mm-hosszu-25-db-atlatszo-ct-250-4-8-13088","https://www.somogyi.hu/product/home-ct-250-4-8-kabelkotegelo-4-8-mm-szeles-250-mm-hosszu-25-db-atlatszo-ct-250-4-8-13088")</f>
        <v>0.0</v>
      </c>
      <c r="E2088" s="7" t="n">
        <f>HYPERLINK("https://www.somogyi.hu/data/img/product_main_images/small/13088.jpg","https://www.somogyi.hu/data/img/product_main_images/small/13088.jpg")</f>
        <v>0.0</v>
      </c>
      <c r="F2088" s="2" t="inlineStr">
        <is>
          <t>5999084912697</t>
        </is>
      </c>
      <c r="G208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 transzparent színű kábelkötegelő, 250 mm hosszúságban, 4,8 mm szélességben, valamint 25 db/csomagban kapható. Válassza a minőségi termékeket és rendeljen webáruházunkból.</t>
        </is>
      </c>
    </row>
    <row r="2089">
      <c r="A2089" s="3" t="inlineStr">
        <is>
          <t>CT 100/2,5</t>
        </is>
      </c>
      <c r="B2089" s="2" t="inlineStr">
        <is>
          <t>Home CT 100/2,5 kábelkötegelő, 2,5 mm széles, 100 mm hosszú, 50 db, átlátszó</t>
        </is>
      </c>
      <c r="C2089" s="1" t="n">
        <v>319.0</v>
      </c>
      <c r="D2089" s="7" t="n">
        <f>HYPERLINK("https://www.somogyi.hu/product/home-ct-100-2-5-kabelkotegelo-2-5-mm-szeles-100-mm-hosszu-50-db-atlatszo-ct-100-2-5-13083","https://www.somogyi.hu/product/home-ct-100-2-5-kabelkotegelo-2-5-mm-szeles-100-mm-hosszu-50-db-atlatszo-ct-100-2-5-13083")</f>
        <v>0.0</v>
      </c>
      <c r="E2089" s="7" t="n">
        <f>HYPERLINK("https://www.somogyi.hu/data/img/product_main_images/small/13083.jpg","https://www.somogyi.hu/data/img/product_main_images/small/13083.jpg")</f>
        <v>0.0</v>
      </c>
      <c r="F2089" s="2" t="inlineStr">
        <is>
          <t>5999084912642</t>
        </is>
      </c>
      <c r="G2089"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 transzparent színű kábelkötegelő, 100 mm hosszúságban, 2,5 mm szélességben, valamint 50 db/csomagban kapható.</t>
        </is>
      </c>
    </row>
    <row r="2090">
      <c r="A2090" s="3" t="inlineStr">
        <is>
          <t>CT 150/3,5</t>
        </is>
      </c>
      <c r="B2090" s="2" t="inlineStr">
        <is>
          <t>Home CT 150/3,5 kábelkötegelő, 3,5 mm széles, 150 mm hosszú, 50 db, átlátszó</t>
        </is>
      </c>
      <c r="C2090" s="1" t="n">
        <v>599.0</v>
      </c>
      <c r="D2090" s="7" t="n">
        <f>HYPERLINK("https://www.somogyi.hu/product/home-ct-150-3-5-kabelkotegelo-3-5-mm-szeles-150-mm-hosszu-50-db-atlatszo-ct-150-3-5-13086","https://www.somogyi.hu/product/home-ct-150-3-5-kabelkotegelo-3-5-mm-szeles-150-mm-hosszu-50-db-atlatszo-ct-150-3-5-13086")</f>
        <v>0.0</v>
      </c>
      <c r="E2090" s="7" t="n">
        <f>HYPERLINK("https://www.somogyi.hu/data/img/product_main_images/small/13086.jpg","https://www.somogyi.hu/data/img/product_main_images/small/13086.jpg")</f>
        <v>0.0</v>
      </c>
      <c r="F2090" s="2" t="inlineStr">
        <is>
          <t>5999084912673</t>
        </is>
      </c>
      <c r="G2090"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 transzparent színű kábelkötegelő, 150 mm hosszúságban, 3,5 mm szélességben, valamint 50 db/csomagban kapható. Válassza a minőségi termékeket és rendeljen webáruházunkból.</t>
        </is>
      </c>
    </row>
    <row r="2091">
      <c r="A2091" s="3" t="inlineStr">
        <is>
          <t>CT 200/3,5</t>
        </is>
      </c>
      <c r="B2091" s="2" t="inlineStr">
        <is>
          <t>Home CT 200/3,5 kábelkötegelő, 3,5 mm széles, 200 mm hosszú, 50 db, átlátszó</t>
        </is>
      </c>
      <c r="C2091" s="1" t="n">
        <v>779.0</v>
      </c>
      <c r="D2091" s="7" t="n">
        <f>HYPERLINK("https://www.somogyi.hu/product/home-ct-200-3-5-kabelkotegelo-3-5-mm-szeles-200-mm-hosszu-50-db-atlatszo-ct-200-3-5-13087","https://www.somogyi.hu/product/home-ct-200-3-5-kabelkotegelo-3-5-mm-szeles-200-mm-hosszu-50-db-atlatszo-ct-200-3-5-13087")</f>
        <v>0.0</v>
      </c>
      <c r="E2091" s="7" t="n">
        <f>HYPERLINK("https://www.somogyi.hu/data/img/product_main_images/small/13087.jpg","https://www.somogyi.hu/data/img/product_main_images/small/13087.jpg")</f>
        <v>0.0</v>
      </c>
      <c r="F2091" s="2" t="inlineStr">
        <is>
          <t>5999084912680</t>
        </is>
      </c>
      <c r="G209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 transzparent színű kábelkötegelő, 200 mm hosszúságban, 3,5 mm szélességben, valamint 50 db/csomagban kapható. Válassza a minőségi termékeket és rendeljen webáruházunkból.</t>
        </is>
      </c>
    </row>
    <row r="2092">
      <c r="A2092" s="3" t="inlineStr">
        <is>
          <t>CHR 8</t>
        </is>
      </c>
      <c r="B2092" s="2" t="inlineStr">
        <is>
          <t>Home CHR 8 kábelbilincs szöggel, 8mm, 50 db, kerek vezetékhez</t>
        </is>
      </c>
      <c r="C2092" s="1" t="n">
        <v>499.0</v>
      </c>
      <c r="D2092" s="7" t="n">
        <f>HYPERLINK("https://www.somogyi.hu/product/home-chr-8-kabelbilincs-szoggel-8mm-50-db-kerek-vezetekhez-chr-8-4143","https://www.somogyi.hu/product/home-chr-8-kabelbilincs-szoggel-8mm-50-db-kerek-vezetekhez-chr-8-4143")</f>
        <v>0.0</v>
      </c>
      <c r="E2092" s="7" t="n">
        <f>HYPERLINK("https://www.somogyi.hu/data/img/product_main_images/small/04143.jpg","https://www.somogyi.hu/data/img/product_main_images/small/04143.jpg")</f>
        <v>0.0</v>
      </c>
      <c r="F2092" s="2" t="inlineStr">
        <is>
          <t>5998312737088</t>
        </is>
      </c>
      <c r="G2092" s="4" t="inlineStr">
        <is>
          <t>Fordítson kellő figyelmet a kábelek megfelelő rögzítésére! Ennek legideálisabb módja kábelbilincs használata! A CHR széria szöggel ellátott kábelbilincsei kifejezetten kerek vezetékekhez ajánlott. A 8 mm-es vezeték átmérővel rendelkező CHR 8 típus 50 db/ csomag kiszerelésben kapható. Válassza a minőségi termékeket és rendeljen webáruházunkból.</t>
        </is>
      </c>
    </row>
    <row r="2093">
      <c r="A2093" s="3" t="inlineStr">
        <is>
          <t>CTT 28BK</t>
        </is>
      </c>
      <c r="B2093" s="2" t="inlineStr">
        <is>
          <t>Home CTT 28BK kábelkötegelő talp, UV védett, 4 oldalas, öntapadó ragasztó, fúrható, fekete</t>
        </is>
      </c>
      <c r="C2093" s="1" t="n">
        <v>2090.0</v>
      </c>
      <c r="D2093" s="7" t="n">
        <f>HYPERLINK("https://www.somogyi.hu/product/home-ctt-28bk-kabelkotegelo-talp-uv-vedett-4-oldalas-ontapado-ragaszto-furhato-fekete-ctt-28bk-16634","https://www.somogyi.hu/product/home-ctt-28bk-kabelkotegelo-talp-uv-vedett-4-oldalas-ontapado-ragaszto-furhato-fekete-ctt-28bk-16634")</f>
        <v>0.0</v>
      </c>
      <c r="E2093" s="7" t="n">
        <f>HYPERLINK("https://www.somogyi.hu/data/img/product_main_images/small/16634.jpg","https://www.somogyi.hu/data/img/product_main_images/small/16634.jpg")</f>
        <v>0.0</v>
      </c>
      <c r="F2093" s="2" t="inlineStr">
        <is>
          <t>5999084946661</t>
        </is>
      </c>
      <c r="G2093" s="4" t="inlineStr">
        <is>
          <t xml:space="preserve"> • hossz: 28 mm 
 • szélesség: 28 mm 
 • szín: fekete 
 • egységcsomag: 50 db / csomag</t>
        </is>
      </c>
    </row>
    <row r="2094">
      <c r="A2094" s="3" t="inlineStr">
        <is>
          <t>CT SET</t>
        </is>
      </c>
      <c r="B2094" s="2" t="inlineStr">
        <is>
          <t>Home CT SET kábelkötegelő szett, 4 szín, 4 méret, 1,9 x 100 mm, 2,0 x 150 mm, 2,5 x 200 mm, 3,6 x 250 mm, 100 db</t>
        </is>
      </c>
      <c r="C2094" s="1" t="n">
        <v>1150.0</v>
      </c>
      <c r="D2094" s="7" t="n">
        <f>HYPERLINK("https://www.somogyi.hu/product/home-ct-set-kabelkotegelo-szett-4-szin-4-meret-1-9-x-100-mm-2-0-x-150-mm-2-5-x-200-mm-3-6-x-250-mm-100-db-ct-set-15421","https://www.somogyi.hu/product/home-ct-set-kabelkotegelo-szett-4-szin-4-meret-1-9-x-100-mm-2-0-x-150-mm-2-5-x-200-mm-3-6-x-250-mm-100-db-ct-set-15421")</f>
        <v>0.0</v>
      </c>
      <c r="E2094" s="7" t="n">
        <f>HYPERLINK("https://www.somogyi.hu/data/img/product_main_images/small/15421.jpg","https://www.somogyi.hu/data/img/product_main_images/small/15421.jpg")</f>
        <v>0.0</v>
      </c>
      <c r="F2094" s="2" t="inlineStr">
        <is>
          <t>5999084934552</t>
        </is>
      </c>
      <c r="G2094" s="4" t="inlineStr">
        <is>
          <t xml:space="preserve"> • hossz: 100 / 150 / 200 / 250 
 • szélesség: 1,9 / 2,0 / 2,5 / 3,6 
 • szín: fekete / zöld / sárga / piros 
 • egységcsomag: 4 x 25 db</t>
        </is>
      </c>
    </row>
    <row r="2095">
      <c r="A2095" s="3" t="inlineStr">
        <is>
          <t>CHR 7</t>
        </is>
      </c>
      <c r="B2095" s="2" t="inlineStr">
        <is>
          <t>Home CHR 7 kábelbilincs szöggel, 7mm, 50 db, kerek vezetékhez</t>
        </is>
      </c>
      <c r="C2095" s="1" t="n">
        <v>429.0</v>
      </c>
      <c r="D2095" s="7" t="n">
        <f>HYPERLINK("https://www.somogyi.hu/product/home-chr-7-kabelbilincs-szoggel-7mm-50-db-kerek-vezetekhez-chr-7-4131","https://www.somogyi.hu/product/home-chr-7-kabelbilincs-szoggel-7mm-50-db-kerek-vezetekhez-chr-7-4131")</f>
        <v>0.0</v>
      </c>
      <c r="E2095" s="7" t="n">
        <f>HYPERLINK("https://www.somogyi.hu/data/img/product_main_images/small/04131.jpg","https://www.somogyi.hu/data/img/product_main_images/small/04131.jpg")</f>
        <v>0.0</v>
      </c>
      <c r="F2095" s="2" t="inlineStr">
        <is>
          <t>5998312736784</t>
        </is>
      </c>
      <c r="G2095" s="4" t="inlineStr">
        <is>
          <t>Fordítson kellő figyelmet a kábelek megfelelő rögzítésére! Ennek legideálisabb módja kábelbilincs használata! A CHR széria szöggel ellátott kábelbilincsei kifejezetten kerek vezetékekhez ajánlott. A 7 mm-es vezeték átmérővel rendelkező CHR 7 típus 50 db/ csomag kiszerelésben kapható. Válassza a minőségi termékeket és rendeljen webáruházunkból.</t>
        </is>
      </c>
    </row>
    <row r="2096">
      <c r="A2096" s="3" t="inlineStr">
        <is>
          <t>CHR 6</t>
        </is>
      </c>
      <c r="B2096" s="2" t="inlineStr">
        <is>
          <t>Home CHR 6 kábelbilincs szöggel, 6mm, 50 db, kerek vezetékhez</t>
        </is>
      </c>
      <c r="C2096" s="1" t="n">
        <v>419.0</v>
      </c>
      <c r="D2096" s="7" t="n">
        <f>HYPERLINK("https://www.somogyi.hu/product/home-chr-6-kabelbilincs-szoggel-6mm-50-db-kerek-vezetekhez-chr-6-4130","https://www.somogyi.hu/product/home-chr-6-kabelbilincs-szoggel-6mm-50-db-kerek-vezetekhez-chr-6-4130")</f>
        <v>0.0</v>
      </c>
      <c r="E2096" s="7" t="n">
        <f>HYPERLINK("https://www.somogyi.hu/data/img/product_main_images/small/04130.jpg","https://www.somogyi.hu/data/img/product_main_images/small/04130.jpg")</f>
        <v>0.0</v>
      </c>
      <c r="F2096" s="2" t="inlineStr">
        <is>
          <t>5998312736777</t>
        </is>
      </c>
      <c r="G2096" s="4" t="inlineStr">
        <is>
          <t>Fordítson kellő figyelmet a kábelek megfelelő rögzítésére! Ennek legideálisabb módja kábelbilincs használata! A CHR széria szöggel ellátott kábelbilincsei kifejezetten kerek vezetékekhez ajánlott. A 6 mm-es vezeték átmérővel rendelkező CHR 6 típus 50 db/ csomag kiszerelésben kapható. Válassza a minőségi termékeket és rendeljen webáruházunkból.</t>
        </is>
      </c>
    </row>
    <row r="2097">
      <c r="A2097" s="3" t="inlineStr">
        <is>
          <t>CTT 28WH</t>
        </is>
      </c>
      <c r="B2097" s="2" t="inlineStr">
        <is>
          <t>Home CTT 28WH kábelkötegelő talp, UV védett, 4 oldalas, öntapadó ragasztó, fúrható, fehér</t>
        </is>
      </c>
      <c r="C2097" s="1" t="n">
        <v>2090.0</v>
      </c>
      <c r="D2097" s="7" t="n">
        <f>HYPERLINK("https://www.somogyi.hu/product/home-ctt-28wh-kabelkotegelo-talp-uv-vedett-4-oldalas-ontapado-ragaszto-furhato-feher-ctt-28wh-16635","https://www.somogyi.hu/product/home-ctt-28wh-kabelkotegelo-talp-uv-vedett-4-oldalas-ontapado-ragaszto-furhato-feher-ctt-28wh-16635")</f>
        <v>0.0</v>
      </c>
      <c r="E2097" s="7" t="n">
        <f>HYPERLINK("https://www.somogyi.hu/data/img/product_main_images/small/16635.jpg","https://www.somogyi.hu/data/img/product_main_images/small/16635.jpg")</f>
        <v>0.0</v>
      </c>
      <c r="F2097" s="2" t="inlineStr">
        <is>
          <t>5999084946678</t>
        </is>
      </c>
      <c r="G2097" s="4" t="inlineStr">
        <is>
          <t xml:space="preserve"> • hossz: 28 mm 
 • szélesség: 28 mm 
 • szín: fehér 
 • egységcsomag: 50 db / csomag</t>
        </is>
      </c>
    </row>
    <row r="2098">
      <c r="A2098" s="3" t="inlineStr">
        <is>
          <t>CTS BK</t>
        </is>
      </c>
      <c r="B2098" s="2" t="inlineStr">
        <is>
          <t>Home CTS BK kábelkötegelő szett, 4 méret, 1,9 x 100 mm, 2,0 x 150 mm, 2,5 x 200 mm, 3,6 x 250 mm, 100 db, fekete</t>
        </is>
      </c>
      <c r="C2098" s="1" t="n">
        <v>1490.0</v>
      </c>
      <c r="D2098" s="7" t="n">
        <f>HYPERLINK("https://www.somogyi.hu/product/home-cts-bk-kabelkotegelo-szett-4-meret-1-9-x-100-mm-2-0-x-150-mm-2-5-x-200-mm-3-6-x-250-mm-100-db-fekete-cts-bk-17373","https://www.somogyi.hu/product/home-cts-bk-kabelkotegelo-szett-4-meret-1-9-x-100-mm-2-0-x-150-mm-2-5-x-200-mm-3-6-x-250-mm-100-db-fekete-cts-bk-17373")</f>
        <v>0.0</v>
      </c>
      <c r="E2098" s="7" t="n">
        <f>HYPERLINK("https://www.somogyi.hu/data/img/product_main_images/small/17373.jpg","https://www.somogyi.hu/data/img/product_main_images/small/17373.jpg")</f>
        <v>0.0</v>
      </c>
      <c r="F2098" s="2" t="inlineStr">
        <is>
          <t>5999084953959</t>
        </is>
      </c>
      <c r="G2098" s="4" t="inlineStr">
        <is>
          <t xml:space="preserve"> • hossz: 250 mm / 200 mm / 150 mm / 100 mm 
 • szélesség: 3,6 mm / 2,5 mm / 2,0 mm / 1,9 mm 
 • szín: fekete 
 • egységcsomag: 4 x 30 db</t>
        </is>
      </c>
    </row>
    <row r="2099">
      <c r="A2099" s="3" t="inlineStr">
        <is>
          <t>CHR 5</t>
        </is>
      </c>
      <c r="B2099" s="2" t="inlineStr">
        <is>
          <t>Home CHR 5 kábelbilincs szöggel, 5mm, 50 db, kerek vezetékhez</t>
        </is>
      </c>
      <c r="C2099" s="1" t="n">
        <v>379.0</v>
      </c>
      <c r="D2099" s="7" t="n">
        <f>HYPERLINK("https://www.somogyi.hu/product/home-chr-5-kabelbilincs-szoggel-5mm-50-db-kerek-vezetekhez-chr-5-4129","https://www.somogyi.hu/product/home-chr-5-kabelbilincs-szoggel-5mm-50-db-kerek-vezetekhez-chr-5-4129")</f>
        <v>0.0</v>
      </c>
      <c r="E2099" s="7" t="n">
        <f>HYPERLINK("https://www.somogyi.hu/data/img/product_main_images/small/04129.jpg","https://www.somogyi.hu/data/img/product_main_images/small/04129.jpg")</f>
        <v>0.0</v>
      </c>
      <c r="F2099" s="2" t="inlineStr">
        <is>
          <t>5998312736760</t>
        </is>
      </c>
      <c r="G2099" s="4" t="inlineStr">
        <is>
          <t>Fordítson kellő figyelmet a kábelek megfelelő rögzítésére! Ennek legideálisabb módja kábelbilincs használata! A CHR széria szöggel ellátott kábelbilincsei kifejezetten kerek vezetékekhez ajánlott. Az 5 mm-es vezeték átmérővel rendelkező CHR 5 típus 50 db/ csomag kiszerelésben kapható. Válassza a minőségi termékeket és rendeljen webáruházunkból.</t>
        </is>
      </c>
    </row>
    <row r="2100">
      <c r="A2100" s="3" t="inlineStr">
        <is>
          <t>CT 200/3,5/B</t>
        </is>
      </c>
      <c r="B2100" s="2" t="inlineStr">
        <is>
          <t>Home CT 200/3,5/B kábelkötegelő, 3,5 mm széles, 200 mm hosszú, 50 db, fekete</t>
        </is>
      </c>
      <c r="C2100" s="1" t="n">
        <v>779.0</v>
      </c>
      <c r="D2100" s="7" t="n">
        <f>HYPERLINK("https://www.somogyi.hu/product/home-ct-200-3-5-b-kabelkotegelo-3-5-mm-szeles-200-mm-hosszu-50-db-fekete-ct-200-3-5-b-13095","https://www.somogyi.hu/product/home-ct-200-3-5-b-kabelkotegelo-3-5-mm-szeles-200-mm-hosszu-50-db-fekete-ct-200-3-5-b-13095")</f>
        <v>0.0</v>
      </c>
      <c r="E2100" s="7" t="n">
        <f>HYPERLINK("https://www.somogyi.hu/data/img/product_main_images/small/13095.jpg","https://www.somogyi.hu/data/img/product_main_images/small/13095.jpg")</f>
        <v>0.0</v>
      </c>
      <c r="F2100" s="2" t="inlineStr">
        <is>
          <t>5999084912765</t>
        </is>
      </c>
      <c r="G2100"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200/3,5/B fekete színű kábelkötegelő, 200 mm hosszúságban, 3,5 mm szélességben, valamint 50 db/csomagban kapható. Válassza a minőségi termékeket és rendeljen webáruházunkból.</t>
        </is>
      </c>
    </row>
    <row r="2101">
      <c r="A2101" s="3" t="inlineStr">
        <is>
          <t>CT 400/4,8/B</t>
        </is>
      </c>
      <c r="B2101" s="2" t="inlineStr">
        <is>
          <t>Home CT 400/4,8/B kábelkötegelő, 4,8 mm széles, 400 mm hosszú, 25 db, fekete</t>
        </is>
      </c>
      <c r="C2101" s="1" t="n">
        <v>1150.0</v>
      </c>
      <c r="D2101" s="7" t="n">
        <f>HYPERLINK("https://www.somogyi.hu/product/home-ct-400-4-8-b-kabelkotegelo-4-8-mm-szeles-400-mm-hosszu-25-db-fekete-ct-400-4-8-b-13099","https://www.somogyi.hu/product/home-ct-400-4-8-b-kabelkotegelo-4-8-mm-szeles-400-mm-hosszu-25-db-fekete-ct-400-4-8-b-13099")</f>
        <v>0.0</v>
      </c>
      <c r="E2101" s="7" t="n">
        <f>HYPERLINK("https://www.somogyi.hu/data/img/product_main_images/small/13099.jpg","https://www.somogyi.hu/data/img/product_main_images/small/13099.jpg")</f>
        <v>0.0</v>
      </c>
      <c r="F2101" s="2" t="inlineStr">
        <is>
          <t>5999084912802</t>
        </is>
      </c>
      <c r="G210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400/4,8/B fekete színű kábelkötegelő, 400 mm hosszúságban, 4,8 mm szélességben, valamint 25 db/csomagban kapható. Válassza a minőségi termékeket és rendeljen webáruházunkból.</t>
        </is>
      </c>
    </row>
    <row r="2102">
      <c r="A2102" s="3" t="inlineStr">
        <is>
          <t>CT 250/4,8/B</t>
        </is>
      </c>
      <c r="B2102" s="2" t="inlineStr">
        <is>
          <t>Home CT 250/4,8/B kábelkötegelő, 4,8 mm széles, 250 mm hosszú, 25 db, fekete</t>
        </is>
      </c>
      <c r="C2102" s="1" t="n">
        <v>699.0</v>
      </c>
      <c r="D2102" s="7" t="n">
        <f>HYPERLINK("https://www.somogyi.hu/product/home-ct-250-4-8-b-kabelkotegelo-4-8-mm-szeles-250-mm-hosszu-25-db-fekete-ct-250-4-8-b-13096","https://www.somogyi.hu/product/home-ct-250-4-8-b-kabelkotegelo-4-8-mm-szeles-250-mm-hosszu-25-db-fekete-ct-250-4-8-b-13096")</f>
        <v>0.0</v>
      </c>
      <c r="E2102" s="7" t="n">
        <f>HYPERLINK("https://www.somogyi.hu/data/img/product_main_images/small/13096.jpg","https://www.somogyi.hu/data/img/product_main_images/small/13096.jpg")</f>
        <v>0.0</v>
      </c>
      <c r="F2102" s="2" t="inlineStr">
        <is>
          <t>5999084912772</t>
        </is>
      </c>
      <c r="G2102"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250/4,8/B fekete színű kábelkötegelő, 250 mm hosszúságban, 4,8 mm szélességben, valamint 25 db/csomagban kapható. Válassza a minőségi termékeket és rendeljen webáruházunkból.</t>
        </is>
      </c>
    </row>
    <row r="2103">
      <c r="A2103" s="6" t="inlineStr">
        <is>
          <t xml:space="preserve">   Mérés, szerszám, forrasztás / Zsugorcső</t>
        </is>
      </c>
      <c r="B2103" s="6" t="inlineStr">
        <is>
          <t/>
        </is>
      </c>
      <c r="C2103" s="6" t="inlineStr">
        <is>
          <t/>
        </is>
      </c>
      <c r="D2103" s="6" t="inlineStr">
        <is>
          <t/>
        </is>
      </c>
      <c r="E2103" s="6" t="inlineStr">
        <is>
          <t/>
        </is>
      </c>
      <c r="F2103" s="6" t="inlineStr">
        <is>
          <t/>
        </is>
      </c>
      <c r="G2103" s="6" t="inlineStr">
        <is>
          <t/>
        </is>
      </c>
    </row>
    <row r="2104">
      <c r="A2104" s="3" t="inlineStr">
        <is>
          <t>DRS 6-3/BK</t>
        </is>
      </c>
      <c r="B2104" s="2" t="inlineStr">
        <is>
          <t>Home DRS 6-3/BK zsugorcső, poliofelin, 6 mm, fekete</t>
        </is>
      </c>
      <c r="C2104" s="1" t="n">
        <v>499.0</v>
      </c>
      <c r="D2104" s="7" t="n">
        <f>HYPERLINK("https://www.somogyi.hu/product/home-drs-6-3-bk-zsugorcso-poliofelin-6-mm-fekete-drs-6-3-bk-4974","https://www.somogyi.hu/product/home-drs-6-3-bk-zsugorcso-poliofelin-6-mm-fekete-drs-6-3-bk-4974")</f>
        <v>0.0</v>
      </c>
      <c r="E2104" s="7" t="n">
        <f>HYPERLINK("https://www.somogyi.hu/data/img/product_main_images/small/04974.jpg","https://www.somogyi.hu/data/img/product_main_images/small/04974.jpg")</f>
        <v>0.0</v>
      </c>
      <c r="F2104" s="2" t="inlineStr">
        <is>
          <t>5998312743966</t>
        </is>
      </c>
      <c r="G2104" s="4" t="inlineStr">
        <is>
          <t>Önnek is fontos a kábelek és vezetékek biztonságos és tartós szigetelése? A Home DRS 6-3/BK fekete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6-3/BK zsugorcsövet a hatékony és tartós szigetelés érdekében.</t>
        </is>
      </c>
    </row>
    <row r="2105">
      <c r="A2105" s="3" t="inlineStr">
        <is>
          <t>DRS 20-10/BK</t>
        </is>
      </c>
      <c r="B2105" s="2" t="inlineStr">
        <is>
          <t>Home DRS 20-10/BK zsugorcső, poliofelin, 20 mm, fekete</t>
        </is>
      </c>
      <c r="C2105" s="1" t="n">
        <v>1050.0</v>
      </c>
      <c r="D2105" s="7" t="n">
        <f>HYPERLINK("https://www.somogyi.hu/product/home-drs-20-10-bk-zsugorcso-poliofelin-20-mm-fekete-drs-20-10-bk-4990","https://www.somogyi.hu/product/home-drs-20-10-bk-zsugorcso-poliofelin-20-mm-fekete-drs-20-10-bk-4990")</f>
        <v>0.0</v>
      </c>
      <c r="E2105" s="7" t="n">
        <f>HYPERLINK("https://www.somogyi.hu/data/img/product_main_images/small/04990.jpg","https://www.somogyi.hu/data/img/product_main_images/small/04990.jpg")</f>
        <v>0.0</v>
      </c>
      <c r="F2105" s="2" t="inlineStr">
        <is>
          <t>5998312744123</t>
        </is>
      </c>
      <c r="G2105" s="4" t="inlineStr">
        <is>
          <t>Önnek is fontos a kábelek és vezetékek biztonságos és tartós szigetelése? A Home DRS 20-10/BK fekete színű zsugorcső az ideális választás minden olyan helyzetre, ahol a szigetelés integritása és a kábelvédelem elsődleges szempont. 
Az eredeti 20 mm-es átmérő hő hatására 10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20-10/BK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20-10/BK zsugorcsövet a hatékony és tartós szigetelés érdekében.</t>
        </is>
      </c>
    </row>
    <row r="2106">
      <c r="A2106" s="3" t="inlineStr">
        <is>
          <t>DRS 2-1/BK</t>
        </is>
      </c>
      <c r="B2106" s="2" t="inlineStr">
        <is>
          <t>Home DRS 2-1/BK zsugorcső, poliofelin, 2 mm, fekete</t>
        </is>
      </c>
      <c r="C2106" s="1" t="n">
        <v>269.0</v>
      </c>
      <c r="D2106" s="7" t="n">
        <f>HYPERLINK("https://www.somogyi.hu/product/home-drs-2-1-bk-zsugorcso-poliofelin-2-mm-fekete-drs-2-1-bk-4965","https://www.somogyi.hu/product/home-drs-2-1-bk-zsugorcso-poliofelin-2-mm-fekete-drs-2-1-bk-4965")</f>
        <v>0.0</v>
      </c>
      <c r="E2106" s="7" t="n">
        <f>HYPERLINK("https://www.somogyi.hu/data/img/product_main_images/small/04965.jpg","https://www.somogyi.hu/data/img/product_main_images/small/04965.jpg")</f>
        <v>0.0</v>
      </c>
      <c r="F2106" s="2" t="inlineStr">
        <is>
          <t>5998312743874</t>
        </is>
      </c>
      <c r="G2106" s="4" t="inlineStr">
        <is>
          <t>Önnek is fontos a kábelek és vezetékek biztonságos és tartós szigetelése? A Home DRS 2-1/BK fekete színű zsugorcső az ideális választás minden olyan helyzetre, ahol a szigetelés integritása és a kábelvédelem elsődleges szempont. 
Az eredeti 2 mm-es átmérő hő hatására 1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2-1/BK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2-1/BK zsugorcsövet a hatékony és tartós szigetelés érdekében.</t>
        </is>
      </c>
    </row>
    <row r="2107">
      <c r="A2107" s="3" t="inlineStr">
        <is>
          <t>DRS 4-2/BK</t>
        </is>
      </c>
      <c r="B2107" s="2" t="inlineStr">
        <is>
          <t>Home DRS 4-2/BK zsugorcső, poliofelin, 4 mm, fekete</t>
        </is>
      </c>
      <c r="C2107" s="1" t="n">
        <v>399.0</v>
      </c>
      <c r="D2107" s="7" t="n">
        <f>HYPERLINK("https://www.somogyi.hu/product/home-drs-4-2-bk-zsugorcso-poliofelin-4-mm-fekete-drs-4-2-bk-4973","https://www.somogyi.hu/product/home-drs-4-2-bk-zsugorcso-poliofelin-4-mm-fekete-drs-4-2-bk-4973")</f>
        <v>0.0</v>
      </c>
      <c r="E2107" s="7" t="n">
        <f>HYPERLINK("https://www.somogyi.hu/data/img/product_main_images/small/04973.jpg","https://www.somogyi.hu/data/img/product_main_images/small/04973.jpg")</f>
        <v>0.0</v>
      </c>
      <c r="F2107" s="2" t="inlineStr">
        <is>
          <t>5998312743959</t>
        </is>
      </c>
      <c r="G2107" s="4" t="inlineStr">
        <is>
          <t>Önnek is fontos a kábelek és vezetékek biztonságos és tartós szigetelése? A Home DRS 4-2/BK fekete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4-2/BK zsugorcsövet a hatékony és tartós szigetelés érdekében.</t>
        </is>
      </c>
    </row>
    <row r="2108">
      <c r="A2108" s="3" t="inlineStr">
        <is>
          <t>DRS 4-2/WH</t>
        </is>
      </c>
      <c r="B2108" s="2" t="inlineStr">
        <is>
          <t>Home DRS 4-2/BK zsugorcső, poliofelin, 4 mm, fehér</t>
        </is>
      </c>
      <c r="C2108" s="1" t="n">
        <v>399.0</v>
      </c>
      <c r="D2108" s="7" t="n">
        <f>HYPERLINK("https://www.somogyi.hu/product/home-drs-4-2-bk-zsugorcso-poliofelin-4-mm-feher-drs-4-2-wh-4969","https://www.somogyi.hu/product/home-drs-4-2-bk-zsugorcso-poliofelin-4-mm-feher-drs-4-2-wh-4969")</f>
        <v>0.0</v>
      </c>
      <c r="E2108" s="7" t="n">
        <f>HYPERLINK("https://www.somogyi.hu/data/img/product_main_images/small/04969.jpg","https://www.somogyi.hu/data/img/product_main_images/small/04969.jpg")</f>
        <v>0.0</v>
      </c>
      <c r="F2108" s="2" t="inlineStr">
        <is>
          <t>5998312743911</t>
        </is>
      </c>
      <c r="G2108" s="4" t="inlineStr">
        <is>
          <t>Önnek is fontos a kábelek és vezetékek biztonságos és tartós szigetelése? A Home DRS 4-2/WH fehér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4-2/WH zsugorcsövet a hatékony és tartós szigetelés érdekében.</t>
        </is>
      </c>
    </row>
    <row r="2109">
      <c r="A2109" s="3" t="inlineStr">
        <is>
          <t>DRS 4-2/RD</t>
        </is>
      </c>
      <c r="B2109" s="2" t="inlineStr">
        <is>
          <t>Home DRS 4-2/BK zsugorcső, poliofelin, 4 mm, piros</t>
        </is>
      </c>
      <c r="C2109" s="1" t="n">
        <v>399.0</v>
      </c>
      <c r="D2109" s="7" t="n">
        <f>HYPERLINK("https://www.somogyi.hu/product/home-drs-4-2-bk-zsugorcso-poliofelin-4-mm-piros-drs-4-2-rd-4971","https://www.somogyi.hu/product/home-drs-4-2-bk-zsugorcso-poliofelin-4-mm-piros-drs-4-2-rd-4971")</f>
        <v>0.0</v>
      </c>
      <c r="E2109" s="7" t="n">
        <f>HYPERLINK("https://www.somogyi.hu/data/img/product_main_images/small/04971.jpg","https://www.somogyi.hu/data/img/product_main_images/small/04971.jpg")</f>
        <v>0.0</v>
      </c>
      <c r="F2109" s="2" t="inlineStr">
        <is>
          <t>5998312743935</t>
        </is>
      </c>
      <c r="G2109" s="4" t="inlineStr">
        <is>
          <t>Önnek is fontos a kábelek és vezetékek biztonságos és tartós szigetelése? A Home DRS 4-2/RD piros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4-2/RD zsugorcsövet a hatékony és tartós szigetelés érdekében.</t>
        </is>
      </c>
    </row>
    <row r="2110">
      <c r="A2110" s="3" t="inlineStr">
        <is>
          <t>DRS 6-3/WH</t>
        </is>
      </c>
      <c r="B2110" s="2" t="inlineStr">
        <is>
          <t>Home DRS 6-3/BK zsugorcső, poliofelin, 6 mm, fehér</t>
        </is>
      </c>
      <c r="C2110" s="1" t="n">
        <v>499.0</v>
      </c>
      <c r="D2110" s="7" t="n">
        <f>HYPERLINK("https://www.somogyi.hu/product/home-drs-6-3-bk-zsugorcso-poliofelin-6-mm-feher-drs-6-3-wh-4975","https://www.somogyi.hu/product/home-drs-6-3-bk-zsugorcso-poliofelin-6-mm-feher-drs-6-3-wh-4975")</f>
        <v>0.0</v>
      </c>
      <c r="E2110" s="7" t="n">
        <f>HYPERLINK("https://www.somogyi.hu/data/img/product_main_images/small/04975.jpg","https://www.somogyi.hu/data/img/product_main_images/small/04975.jpg")</f>
        <v>0.0</v>
      </c>
      <c r="F2110" s="2" t="inlineStr">
        <is>
          <t>5998312743973</t>
        </is>
      </c>
      <c r="G2110" s="4" t="inlineStr">
        <is>
          <t>Önnek is fontos a kábelek és vezetékek biztonságos és tartós szigetelése? A Home DRS 6-3/WH fehér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6-3/WH zsugorcsövet a hatékony és tartós szigetelés érdekében.</t>
        </is>
      </c>
    </row>
    <row r="2111">
      <c r="A2111" s="3" t="inlineStr">
        <is>
          <t>DRS 6-3/RD</t>
        </is>
      </c>
      <c r="B2111" s="2" t="inlineStr">
        <is>
          <t>Home DRS 6-3/BK zsugorcső, poliofelin, 6 mm, piros</t>
        </is>
      </c>
      <c r="C2111" s="1" t="n">
        <v>499.0</v>
      </c>
      <c r="D2111" s="7" t="n">
        <f>HYPERLINK("https://www.somogyi.hu/product/home-drs-6-3-bk-zsugorcso-poliofelin-6-mm-piros-drs-6-3-rd-4977","https://www.somogyi.hu/product/home-drs-6-3-bk-zsugorcso-poliofelin-6-mm-piros-drs-6-3-rd-4977")</f>
        <v>0.0</v>
      </c>
      <c r="E2111" s="7" t="n">
        <f>HYPERLINK("https://www.somogyi.hu/data/img/product_main_images/small/04977.jpg","https://www.somogyi.hu/data/img/product_main_images/small/04977.jpg")</f>
        <v>0.0</v>
      </c>
      <c r="F2111" s="2" t="inlineStr">
        <is>
          <t>5998312743997</t>
        </is>
      </c>
      <c r="G2111" s="4" t="inlineStr">
        <is>
          <t>Önnek is fontos a kábelek és vezetékek biztonságos és tartós szigetelése? A Home DRS 6-3/RD piros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6-3/RD zsugorcsövet a hatékony és tartós szigetelés érdekében.</t>
        </is>
      </c>
    </row>
    <row r="2112">
      <c r="A2112" s="3" t="inlineStr">
        <is>
          <t>DRS 10-5/BK</t>
        </is>
      </c>
      <c r="B2112" s="2" t="inlineStr">
        <is>
          <t>Home DRS 10-5/BK zsugorcső, poliofelin, 10 mm, fekete</t>
        </is>
      </c>
      <c r="C2112" s="1" t="n">
        <v>639.0</v>
      </c>
      <c r="D2112" s="7" t="n">
        <f>HYPERLINK("https://www.somogyi.hu/product/home-drs-10-5-bk-zsugorcso-poliofelin-10-mm-fekete-drs-10-5-bk-4980","https://www.somogyi.hu/product/home-drs-10-5-bk-zsugorcso-poliofelin-10-mm-fekete-drs-10-5-bk-4980")</f>
        <v>0.0</v>
      </c>
      <c r="E2112" s="7" t="n">
        <f>HYPERLINK("https://www.somogyi.hu/data/img/product_main_images/small/04980.jpg","https://www.somogyi.hu/data/img/product_main_images/small/04980.jpg")</f>
        <v>0.0</v>
      </c>
      <c r="F2112" s="2" t="inlineStr">
        <is>
          <t>5998312744024</t>
        </is>
      </c>
      <c r="G2112" s="4" t="inlineStr">
        <is>
          <t>Önnek is fontos a kábelek és vezetékek biztonságos és tartós szigetelése? A Home DRS 10-5/BK fekete színű zsugorcső az ideális választás minden olyan helyzetre, ahol a szigetelés integritása és a kábelvédelem elsődleges szempont. 
Az eredeti 10 mm-es átmérő hő hatására 5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10-5/BK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10-5/BK zsugorcsövet a hatékony és tartós szigetelés érdekében.</t>
        </is>
      </c>
    </row>
    <row r="2113">
      <c r="A2113" s="3" t="inlineStr">
        <is>
          <t>DRS 15-7.5/BK</t>
        </is>
      </c>
      <c r="B2113" s="2" t="inlineStr">
        <is>
          <t>Home DRS 15-7.5/BK zsugorcső, poliofelin, 15 mm, fekete</t>
        </is>
      </c>
      <c r="C2113" s="1" t="n">
        <v>799.0</v>
      </c>
      <c r="D2113" s="7" t="n">
        <f>HYPERLINK("https://www.somogyi.hu/product/home-drs-15-7-5-bk-zsugorcso-poliofelin-15-mm-fekete-drs-15-7-5-bk-4984","https://www.somogyi.hu/product/home-drs-15-7-5-bk-zsugorcso-poliofelin-15-mm-fekete-drs-15-7-5-bk-4984")</f>
        <v>0.0</v>
      </c>
      <c r="E2113" s="7" t="n">
        <f>HYPERLINK("https://www.somogyi.hu/data/img/product_main_images/small/04984.jpg","https://www.somogyi.hu/data/img/product_main_images/small/04984.jpg")</f>
        <v>0.0</v>
      </c>
      <c r="F2113" s="2" t="inlineStr">
        <is>
          <t>5998312744062</t>
        </is>
      </c>
      <c r="G2113" s="4" t="inlineStr">
        <is>
          <t>Széles kínálatunkban garantáltan megtalálhatja az igényeinek megfelelő kiszerelésben kapható zsugorcsöveket!
A DRS szériában kapható zsugorcsövek alkalmazhatóak vezetékek összefogására, toldásra, szigetelésre, jelölésre, valamint korrózióvédelemre, törésgátlásra, tehermentesítésre; akkucsomagok elkészítésére, elektronikai alkatrészek védelmére, autóvillamosságra. A masszív kialakítással rendelkező DRS széria továbbá alkalmas olyan alkatrészek védelmére, ahol nagy átmérőkülönbségek fordulhatnak elő; pl. kábelsaruk esetében. A zsugorcsövek átmérője hő hatására a felére csökken. Négy féle szín közül választhatunk: fehér, fekete, piros, kék. A zsugorcsövek kiszerelése: 1 m.
A DRS 15-7.5/BK fekete színű zsugorcső 15 mm-es eredeti és 7,5 mm-es zsugorított átmérővel rendelkezik. Zsugorodási hőmérséklete: 125°C (90 – 125°C). Felhasználhatósága: - 55 – 125 °C között. Válassza a minőségi termékeket és rendeljen webáruházunkból.</t>
        </is>
      </c>
    </row>
    <row r="2114">
      <c r="A2114" s="6" t="inlineStr">
        <is>
          <t xml:space="preserve">   Mérés, szerszám, forrasztás / Szigetelőszalag, ragasztószalag</t>
        </is>
      </c>
      <c r="B2114" s="6" t="inlineStr">
        <is>
          <t/>
        </is>
      </c>
      <c r="C2114" s="6" t="inlineStr">
        <is>
          <t/>
        </is>
      </c>
      <c r="D2114" s="6" t="inlineStr">
        <is>
          <t/>
        </is>
      </c>
      <c r="E2114" s="6" t="inlineStr">
        <is>
          <t/>
        </is>
      </c>
      <c r="F2114" s="6" t="inlineStr">
        <is>
          <t/>
        </is>
      </c>
      <c r="G2114" s="6" t="inlineStr">
        <is>
          <t/>
        </is>
      </c>
    </row>
    <row r="2115">
      <c r="A2115" s="3" t="inlineStr">
        <is>
          <t>SS 110</t>
        </is>
      </c>
      <c r="B2115" s="2" t="inlineStr">
        <is>
          <t>Home SS 110 szigetelőszalag, 10 m, fekete</t>
        </is>
      </c>
      <c r="C2115" s="1" t="n">
        <v>259.0</v>
      </c>
      <c r="D2115" s="7" t="n">
        <f>HYPERLINK("https://www.somogyi.hu/product/home-ss-110-szigeteloszalag-10-m-fekete-ss-110-3086","https://www.somogyi.hu/product/home-ss-110-szigeteloszalag-10-m-fekete-ss-110-3086")</f>
        <v>0.0</v>
      </c>
      <c r="E2115" s="7" t="n">
        <f>HYPERLINK("https://www.somogyi.hu/data/img/product_main_images/small/03086.jpg","https://www.somogyi.hu/data/img/product_main_images/small/03086.jpg")</f>
        <v>0.0</v>
      </c>
      <c r="F2115" s="2" t="inlineStr">
        <is>
          <t>5998312734100</t>
        </is>
      </c>
      <c r="G2115" s="4" t="inlineStr">
        <is>
          <t>Egy megbízható szigetelőszalagot keres, amely szinte minden elektronikai projektben megállja a helyét? A Home SS 110 szigetelőszalag kiváló választás azok számára, akik egy univerzális, tartós és hatékony szigetelési megoldást keresnek otthoni vagy professzionális használatra.
Ez a fekete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110 szigetelőszalagot, és biztosítsa elektromos berendezéseinek és vezetékeinek a legmagasabb szintű védelmet.</t>
        </is>
      </c>
    </row>
    <row r="2116">
      <c r="A2116" s="3" t="inlineStr">
        <is>
          <t>SS 510</t>
        </is>
      </c>
      <c r="B2116" s="2" t="inlineStr">
        <is>
          <t>Home SS 510 szigetelőszalag, 10 m, fehér</t>
        </is>
      </c>
      <c r="C2116" s="1" t="n">
        <v>259.0</v>
      </c>
      <c r="D2116" s="7" t="n">
        <f>HYPERLINK("https://www.somogyi.hu/product/home-ss-510-szigeteloszalag-10-m-feher-ss-510-3090","https://www.somogyi.hu/product/home-ss-510-szigeteloszalag-10-m-feher-ss-510-3090")</f>
        <v>0.0</v>
      </c>
      <c r="E2116" s="7" t="n">
        <f>HYPERLINK("https://www.somogyi.hu/data/img/product_main_images/small/03090.jpg","https://www.somogyi.hu/data/img/product_main_images/small/03090.jpg")</f>
        <v>0.0</v>
      </c>
      <c r="F2116" s="2" t="inlineStr">
        <is>
          <t>5998312734148</t>
        </is>
      </c>
      <c r="G2116" s="4" t="inlineStr">
        <is>
          <t>Egy megbízható szigetelőszalagot keres, amely szinte minden elektronikai projektben megállja a helyét? A Home SS 510 szigetelőszalag kiváló választás azok számára, akik egy univerzális, tartós és hatékony szigetelési megoldást keresnek otthoni vagy professzionális használatra.
Ez a fehér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510 szigetelőszalagot, és biztosítsa elektromos berendezéseinek és vezetékeinek a legmagasabb szintű védelmet.</t>
        </is>
      </c>
    </row>
    <row r="2117">
      <c r="A2117" s="3" t="inlineStr">
        <is>
          <t>SS 520</t>
        </is>
      </c>
      <c r="B2117" s="2" t="inlineStr">
        <is>
          <t>Home SS 520 szigetelőszalag, 20 m, fehér</t>
        </is>
      </c>
      <c r="C2117" s="1" t="n">
        <v>449.0</v>
      </c>
      <c r="D2117" s="7" t="n">
        <f>HYPERLINK("https://www.somogyi.hu/product/home-ss-520-szigeteloszalag-20-m-feher-ss-520-3097","https://www.somogyi.hu/product/home-ss-520-szigeteloszalag-20-m-feher-ss-520-3097")</f>
        <v>0.0</v>
      </c>
      <c r="E2117" s="7" t="n">
        <f>HYPERLINK("https://www.somogyi.hu/data/img/product_main_images/small/03097.jpg","https://www.somogyi.hu/data/img/product_main_images/small/03097.jpg")</f>
        <v>0.0</v>
      </c>
      <c r="F2117" s="2" t="inlineStr">
        <is>
          <t>5998312734216</t>
        </is>
      </c>
      <c r="G2117" s="4" t="inlineStr">
        <is>
          <t>Egy megbízható szigetelőszalagot keres, amely szinte minden elektronikai projektben megállja a helyét? A Home SS 520 szigetelőszalag kiváló választás azok számára, akik egy univerzális, tartós és hatékony szigetelési megoldást keresnek otthoni vagy professzionális használatra.
Ez a fehér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520 szigetelőszalagot, és biztosítsa elektromos berendezéseinek és vezetékeinek a legmagasabb szintű védelmet.</t>
        </is>
      </c>
    </row>
    <row r="2118">
      <c r="A2118" s="3" t="inlineStr">
        <is>
          <t>SS 920</t>
        </is>
      </c>
      <c r="B2118" s="2" t="inlineStr">
        <is>
          <t>Home SS 920 szigetelőszalag, 20 m, zöld/sárga</t>
        </is>
      </c>
      <c r="C2118" s="1" t="n">
        <v>499.0</v>
      </c>
      <c r="D2118" s="7" t="n">
        <f>HYPERLINK("https://www.somogyi.hu/product/home-ss-920-szigeteloszalag-20-m-zold-sarga-ss-920-3091","https://www.somogyi.hu/product/home-ss-920-szigeteloszalag-20-m-zold-sarga-ss-920-3091")</f>
        <v>0.0</v>
      </c>
      <c r="E2118" s="7" t="n">
        <f>HYPERLINK("https://www.somogyi.hu/data/img/product_main_images/small/03091.jpg","https://www.somogyi.hu/data/img/product_main_images/small/03091.jpg")</f>
        <v>0.0</v>
      </c>
      <c r="F2118" s="2" t="inlineStr">
        <is>
          <t>5998312734155</t>
        </is>
      </c>
      <c r="G2118" s="4" t="inlineStr">
        <is>
          <t>Egy megbízható szigetelőszalagot keres, amely szinte minden elektronikai projektben megállja a helyét? A Home SS 920 szigetelőszalag kiváló választás azok számára, akik egy univerzális, tartós és hatékony szigetelési megoldást keresnek otthoni vagy professzionális használatra.
Ez a zöld/sárga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920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920 szigetelőszalagot, és biztosítsa elektromos berendezéseinek és vezetékeinek a legmagasabb szintű védelmet.</t>
        </is>
      </c>
    </row>
    <row r="2119">
      <c r="A2119" s="3" t="inlineStr">
        <is>
          <t>SS 120</t>
        </is>
      </c>
      <c r="B2119" s="2" t="inlineStr">
        <is>
          <t>Home SS 120 szigetelőszalag, 20 m, fekete</t>
        </is>
      </c>
      <c r="C2119" s="1" t="n">
        <v>449.0</v>
      </c>
      <c r="D2119" s="7" t="n">
        <f>HYPERLINK("https://www.somogyi.hu/product/home-ss-120-szigeteloszalag-20-m-fekete-ss-120-3093","https://www.somogyi.hu/product/home-ss-120-szigeteloszalag-20-m-fekete-ss-120-3093")</f>
        <v>0.0</v>
      </c>
      <c r="E2119" s="7" t="n">
        <f>HYPERLINK("https://www.somogyi.hu/data/img/product_main_images/small/03093.jpg","https://www.somogyi.hu/data/img/product_main_images/small/03093.jpg")</f>
        <v>0.0</v>
      </c>
      <c r="F2119" s="2" t="inlineStr">
        <is>
          <t>5998312734179</t>
        </is>
      </c>
      <c r="G2119" s="4" t="inlineStr">
        <is>
          <t>Egy megbízható szigetelőszalagot keres, amely szinte minden elektronikai projektben megállja a helyét? A Home SS 120 szigetelőszalag kiváló választás azok számára, akik egy univerzális, tartós és hatékony szigetelési megoldást keresnek otthoni vagy professzionális használatra.
Ez a fekete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120 szigetelőszalagot, és biztosítsa elektromos berendezéseinek és vezetékeinek a legmagasabb szintű védelmet.</t>
        </is>
      </c>
    </row>
    <row r="2120">
      <c r="A2120" s="3" t="inlineStr">
        <is>
          <t>SS 220</t>
        </is>
      </c>
      <c r="B2120" s="2" t="inlineStr">
        <is>
          <t>Home SS 220 szigetelőszalag, 20 m, piros</t>
        </is>
      </c>
      <c r="C2120" s="1" t="n">
        <v>449.0</v>
      </c>
      <c r="D2120" s="7" t="n">
        <f>HYPERLINK("https://www.somogyi.hu/product/home-ss-220-szigeteloszalag-20-m-piros-ss-220-3092","https://www.somogyi.hu/product/home-ss-220-szigeteloszalag-20-m-piros-ss-220-3092")</f>
        <v>0.0</v>
      </c>
      <c r="E2120" s="7" t="n">
        <f>HYPERLINK("https://www.somogyi.hu/data/img/product_main_images/small/03092.jpg","https://www.somogyi.hu/data/img/product_main_images/small/03092.jpg")</f>
        <v>0.0</v>
      </c>
      <c r="F2120" s="2" t="inlineStr">
        <is>
          <t>5998312734162</t>
        </is>
      </c>
      <c r="G2120" s="4" t="inlineStr">
        <is>
          <t>Egy megbízható szigetelőszalagot keres, amely szinte minden elektronikai projektben megállja a helyét? A Home SS 220 szigetelőszalag kiváló választás azok számára, akik egy univerzális, tartós és hatékony szigetelési megoldást keresnek otthoni vagy professzionális használatra.
Ez a piros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220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220 szigetelőszalagot, és biztosítsa elektromos berendezéseinek és vezetékeinek a legmagasabb szintű védelmet.</t>
        </is>
      </c>
    </row>
    <row r="2121">
      <c r="A2121" s="3" t="inlineStr">
        <is>
          <t>SS 320</t>
        </is>
      </c>
      <c r="B2121" s="2" t="inlineStr">
        <is>
          <t>Home SS 320 szigetelőszalag, 20 m, kék</t>
        </is>
      </c>
      <c r="C2121" s="1" t="n">
        <v>449.0</v>
      </c>
      <c r="D2121" s="7" t="n">
        <f>HYPERLINK("https://www.somogyi.hu/product/home-ss-320-szigeteloszalag-20-m-kek-ss-320-3096","https://www.somogyi.hu/product/home-ss-320-szigeteloszalag-20-m-kek-ss-320-3096")</f>
        <v>0.0</v>
      </c>
      <c r="E2121" s="7" t="n">
        <f>HYPERLINK("https://www.somogyi.hu/data/img/product_main_images/small/03096.jpg","https://www.somogyi.hu/data/img/product_main_images/small/03096.jpg")</f>
        <v>0.0</v>
      </c>
      <c r="F2121" s="2" t="inlineStr">
        <is>
          <t>5998312734209</t>
        </is>
      </c>
      <c r="G2121" s="4" t="inlineStr">
        <is>
          <t>Egy megbízható szigetelőszalagot keres, amely szinte minden elektronikai projektben megállja a helyét? A Home SS 320 szigetelőszalag kiváló választás azok számára, akik egy univerzális, tartós és hatékony szigetelési megoldást keresnek otthoni vagy professzionális használatra.
Ez a kék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320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320 szigetelőszalagot, és biztosítsa elektromos berendezéseinek és vezetékeinek a legmagasabb szintű védelmet.</t>
        </is>
      </c>
    </row>
    <row r="2122">
      <c r="A2122" s="3" t="inlineStr">
        <is>
          <t>RSA 50/10</t>
        </is>
      </c>
      <c r="B2122" s="2" t="inlineStr">
        <is>
          <t xml:space="preserve">Home RSA 50/10 tiszta alumínium szigetelőszalag, 30 mikron vastag, UV álló, 10 m </t>
        </is>
      </c>
      <c r="C2122" s="1" t="n">
        <v>1350.0</v>
      </c>
      <c r="D2122" s="7" t="n">
        <f>HYPERLINK("https://www.somogyi.hu/product/home-rsa-50-10-tiszta-aluminium-szigeteloszalag-30-mikron-vastag-uv-allo-10-m-rsa-50-10-16906","https://www.somogyi.hu/product/home-rsa-50-10-tiszta-aluminium-szigeteloszalag-30-mikron-vastag-uv-allo-10-m-rsa-50-10-16906")</f>
        <v>0.0</v>
      </c>
      <c r="E2122" s="7" t="n">
        <f>HYPERLINK("https://www.somogyi.hu/data/img/product_main_images/small/16906.jpg","https://www.somogyi.hu/data/img/product_main_images/small/16906.jpg")</f>
        <v>0.0</v>
      </c>
      <c r="F2122" s="2" t="inlineStr">
        <is>
          <t>5999084949389</t>
        </is>
      </c>
      <c r="G2122" s="4" t="inlineStr">
        <is>
          <t>Van univerzális megoldás, ami a kihívást jelentő környezetben is megvédi a szerkezeteket? A Home RSA 50/10 tiszta alumínium ragasztószalag minden igényt kielégítő választás, ha hőszigetelésről, árnyékolásról vagy éppen elektromos vezetésről van szó.
Ez a 30 mikron vastagságú tiszta alumínium ragasztószalag egy öntapadós papírréteggel rendelkezik, ami garantálja a könnyű és gyors alkalmazást. Az időtálló akril ragasztóréteg biztosítja, hogy a szalag kiváló tapadást nyújtson magas hőmérsékleteken is, míg UV állósága lehetővé teszi, hogy a szabadban is hosszú távon megőrizze teljesítményét.
A Home RSA 50/10 különlegessége abban rejlik, hogy nemcsak jól vezeti a hőt és az elektromosságot, hanem a hőt vissza is veri, ezáltal ideális választás gépészeti szigetelőanyagok hőhíd nélküli végtelenítésére, légcsatornák szigetelésére és árnyékolásra. Emellett kiválóan alkalmazható enyhe savak és lúgok elleni maszkolásként, így széles körű ipari felhasználásra kínál megoldást.
Fedezze fel a Home RSA 50/10 tiszta alumínium ragasztószalag sokoldalúságát, ami megbízható partner lesz a kül- és beltéri projektekben egyaránt.</t>
        </is>
      </c>
    </row>
    <row r="2123">
      <c r="A2123" s="3" t="inlineStr">
        <is>
          <t>RS 50/10</t>
        </is>
      </c>
      <c r="B2123" s="2" t="inlineStr">
        <is>
          <t>Home RS 50/10 textil ragasztószalag, 10 m, ezüst</t>
        </is>
      </c>
      <c r="C2123" s="1" t="n">
        <v>1090.0</v>
      </c>
      <c r="D2123" s="7" t="n">
        <f>HYPERLINK("https://www.somogyi.hu/product/home-rs-50-10-textil-ragasztoszalag-10-m-ezust-rs-50-10-11811","https://www.somogyi.hu/product/home-rs-50-10-textil-ragasztoszalag-10-m-ezust-rs-50-10-11811")</f>
        <v>0.0</v>
      </c>
      <c r="E2123" s="7" t="n">
        <f>HYPERLINK("https://www.somogyi.hu/data/img/product_main_images/small/11811.jpg","https://www.somogyi.hu/data/img/product_main_images/small/11811.jpg")</f>
        <v>0.0</v>
      </c>
      <c r="F2123" s="2" t="inlineStr">
        <is>
          <t>5999084900236</t>
        </is>
      </c>
      <c r="G2123" s="4" t="inlineStr">
        <is>
          <t>Szüksége van egy megbízható ragasztószalagra, ami szinte minden kihívásnak megfelel? A Home RS 50/10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10m hosszúságával a Home RS 50/10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50/10 textil ragasztószalagot, és bízza a legnehezebb ragasztási feladatokat egy megbízható partnerre.</t>
        </is>
      </c>
    </row>
    <row r="2124">
      <c r="A2124" s="3" t="inlineStr">
        <is>
          <t>RS 50</t>
        </is>
      </c>
      <c r="B2124" s="2" t="inlineStr">
        <is>
          <t>Home RS 50 textil ragasztószalag, 50 m, ezüst</t>
        </is>
      </c>
      <c r="C2124" s="1" t="n">
        <v>3390.0</v>
      </c>
      <c r="D2124" s="7" t="n">
        <f>HYPERLINK("https://www.somogyi.hu/product/home-rs-50-textil-ragasztoszalag-50-m-ezust-rs-50-5009","https://www.somogyi.hu/product/home-rs-50-textil-ragasztoszalag-50-m-ezust-rs-50-5009")</f>
        <v>0.0</v>
      </c>
      <c r="E2124" s="7" t="n">
        <f>HYPERLINK("https://www.somogyi.hu/data/img/product_main_images/small/05009.jpg","https://www.somogyi.hu/data/img/product_main_images/small/05009.jpg")</f>
        <v>0.0</v>
      </c>
      <c r="F2124" s="2" t="inlineStr">
        <is>
          <t>5998312744314</t>
        </is>
      </c>
      <c r="G2124" s="4" t="inlineStr">
        <is>
          <t>Szüksége van egy megbízható ragasztószalagra, ami szinte minden kihívásnak megfelel? A Home RS 50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50m hosszúságával a Home RS 50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 textil ragasztószalagot, és bízza a legnehezebb ragasztási feladatokat egy megbízható partnerre.</t>
        </is>
      </c>
    </row>
    <row r="2125">
      <c r="A2125" s="3" t="inlineStr">
        <is>
          <t>SS 420</t>
        </is>
      </c>
      <c r="B2125" s="2" t="inlineStr">
        <is>
          <t>Home SS 420 szigetelőszalag, 20 m, zöld</t>
        </is>
      </c>
      <c r="C2125" s="1" t="n">
        <v>449.0</v>
      </c>
      <c r="D2125" s="7" t="n">
        <f>HYPERLINK("https://www.somogyi.hu/product/home-ss-420-szigeteloszalag-20-m-zold-ss-420-3095","https://www.somogyi.hu/product/home-ss-420-szigeteloszalag-20-m-zold-ss-420-3095")</f>
        <v>0.0</v>
      </c>
      <c r="E2125" s="7" t="n">
        <f>HYPERLINK("https://www.somogyi.hu/data/img/product_main_images/small/03095.jpg","https://www.somogyi.hu/data/img/product_main_images/small/03095.jpg")</f>
        <v>0.0</v>
      </c>
      <c r="F2125" s="2" t="inlineStr">
        <is>
          <t>5998312734193</t>
        </is>
      </c>
      <c r="G2125" s="4" t="inlineStr">
        <is>
          <t>Egy megbízható szigetelőszalagot keres, amely szinte minden elektronikai projektben megállja a helyét? A Home SS 420 szigetelőszalag kiváló választás azok számára, akik egy univerzális, tartós és hatékony szigetelési megoldást keresnek otthoni vagy professzionális használatra.
Ez a zöld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420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420 szigetelőszalagot, és biztosítsa elektromos berendezéseinek és vezetékeinek a legmagasabb szintű védelmet.</t>
        </is>
      </c>
    </row>
    <row r="2126">
      <c r="A2126" s="3" t="inlineStr">
        <is>
          <t>RS 52/10</t>
        </is>
      </c>
      <c r="B2126" s="2" t="inlineStr">
        <is>
          <t>Home RS 52/10 kétoldalas ragasztószalag, 10 m, ezüst</t>
        </is>
      </c>
      <c r="C2126" s="1" t="n">
        <v>1250.0</v>
      </c>
      <c r="D2126" s="7" t="n">
        <f>HYPERLINK("https://www.somogyi.hu/product/home-rs-52-10-ketoldalas-ragasztoszalag-10-m-ezust-rs-52-10-13757","https://www.somogyi.hu/product/home-rs-52-10-ketoldalas-ragasztoszalag-10-m-ezust-rs-52-10-13757")</f>
        <v>0.0</v>
      </c>
      <c r="E2126" s="7" t="n">
        <f>HYPERLINK("https://www.somogyi.hu/data/img/product_main_images/small/13757.jpg","https://www.somogyi.hu/data/img/product_main_images/small/13757.jpg")</f>
        <v>0.0</v>
      </c>
      <c r="F2126" s="2" t="inlineStr">
        <is>
          <t>8001814188870</t>
        </is>
      </c>
      <c r="G2126" s="4" t="inlineStr">
        <is>
          <t>Szüksége van egy ragasztószalagra, ami mindkét oldalán erősen tapad? A Home RS 52/10 kétoldalas ragasztószalag a tökéletes választás azok számára, akik egy megbízható, sokoldalú és erős ragasztási megoldást keresnek otthoni, irodai vagy ipari használatra.
Ez a kiváló minőségű kétoldalas ragasztószalag rendkívül erős tapadási képességgel rendelkezik, így kiválóan alkalmas különféle felületek összetapasztására, legyen szó papírról, fáról, műanyagról, üvegről vagy fémről. Az 50mm szélesség és a 10m hosszúság elegendő anyagot biztosít számos projekt és javítási munka elvégzéséhez, miközben a szalag vastagsága garantálja a tartósságot és az erős kötést.
A Home RS 52/10 ragasztószalag használata egyszerű és tiszta, nem igényel speciális eszközöket vagy előkészületeket, és hagyományos ollóval könnyedén méretre szabható. Az erős tapadás mellett ez a kétoldalas ragasztószalag rugalmasságot is kínál, lehetővé téve, hogy kreatívan alkalmazza a különféle feladatokban.
Bízza a nehéz ragasztási feladatokat a Home RS 52/10 kétoldalas ragasztószalagra.</t>
        </is>
      </c>
    </row>
    <row r="2127">
      <c r="A2127" s="6" t="inlineStr">
        <is>
          <t xml:space="preserve">   Mérés, szerszám, forrasztás / Kenőanyag, tisztítóanyag</t>
        </is>
      </c>
      <c r="B2127" s="6" t="inlineStr">
        <is>
          <t/>
        </is>
      </c>
      <c r="C2127" s="6" t="inlineStr">
        <is>
          <t/>
        </is>
      </c>
      <c r="D2127" s="6" t="inlineStr">
        <is>
          <t/>
        </is>
      </c>
      <c r="E2127" s="6" t="inlineStr">
        <is>
          <t/>
        </is>
      </c>
      <c r="F2127" s="6" t="inlineStr">
        <is>
          <t/>
        </is>
      </c>
      <c r="G2127" s="6" t="inlineStr">
        <is>
          <t/>
        </is>
      </c>
    </row>
    <row r="2128">
      <c r="A2128" s="3" t="inlineStr">
        <is>
          <t>TE01684 (MK 1684)</t>
        </is>
      </c>
      <c r="B2128" s="2" t="inlineStr">
        <is>
          <t>Home TEO1684 (MK 1684) sűrített levegő spray, 300 ml</t>
        </is>
      </c>
      <c r="C2128" s="1" t="n">
        <v>3390.0</v>
      </c>
      <c r="D2128" s="7" t="n">
        <f>HYPERLINK("https://www.somogyi.hu/product/home-teo1684-mk-1684-suritett-levego-spray-300-ml-te01684-mk-1684-7206","https://www.somogyi.hu/product/home-teo1684-mk-1684-suritett-levego-spray-300-ml-te01684-mk-1684-7206")</f>
        <v>0.0</v>
      </c>
      <c r="E2128" s="7" t="n">
        <f>HYPERLINK("https://www.somogyi.hu/data/img/product_main_images/small/07206.jpg","https://www.somogyi.hu/data/img/product_main_images/small/07206.jpg")</f>
        <v>0.0</v>
      </c>
      <c r="F2128" s="2" t="inlineStr">
        <is>
          <t>5997074516849</t>
        </is>
      </c>
      <c r="G2128" s="4" t="inlineStr">
        <is>
          <t>Feltűnt már, hogy a számítógépe hűtőbordái vagy a klaviatúra közötti rések tele vannak porral? A Home TEO1684 (MK 1684) sűrített levegő spray-t pont ezekre a nehezen hozzáférhető helyekre tervezték. 
A 300 ml-es kiszerelésű, erős fúvású spray kiválóan alkalmas elektromos és elektronikai berendezések, például számítógépek, klaviatúrák és audió-videó készülékek tisztítására, anélkül, hogy fizikailag hozzáérnénk a kényes alkatrészekhez. A Home TEO1684 (MK 1684) használata rendkívül egyszerű és biztonságos. A spray száraz, sűrített levegője nem hagy folyadéknyomot, így ideális olyan eszközök portalanítására, ahol a nedvesség károsíthatná a belső komponenseket. A kiszerelés kényelmes fogású, így az irányított légáram pontosan oda juttatható, ahol a legnagyobb szükség van rá.
Ne hagyja, hogy a por és a szennyeződések rontsák berendezései teljesítményét és élettartamát. Használja a Home TEO1684 (MK 1684) sűrített levegő spray-t a gyors és hatékony portalanításhoz.</t>
        </is>
      </c>
    </row>
    <row r="2129">
      <c r="A2129" s="3" t="inlineStr">
        <is>
          <t>290505</t>
        </is>
      </c>
      <c r="B2129" s="2" t="inlineStr">
        <is>
          <t>Home 290505 MOTIP kontakttisztító spray, 200 ml</t>
        </is>
      </c>
      <c r="C2129" s="1" t="n">
        <v>2490.0</v>
      </c>
      <c r="D2129" s="7" t="n">
        <f>HYPERLINK("https://www.somogyi.hu/product/home-290505-motip-kontakttisztito-spray-200-ml-290505-16411","https://www.somogyi.hu/product/home-290505-motip-kontakttisztito-spray-200-ml-290505-16411")</f>
        <v>0.0</v>
      </c>
      <c r="E2129" s="7" t="n">
        <f>HYPERLINK("https://www.somogyi.hu/data/img/product_main_images/small/16411.jpg","https://www.somogyi.hu/data/img/product_main_images/small/16411.jpg")</f>
        <v>0.0</v>
      </c>
      <c r="F2129" s="2" t="inlineStr">
        <is>
          <t>8711347235995</t>
        </is>
      </c>
      <c r="G2129" s="4" t="inlineStr">
        <is>
          <t xml:space="preserve"> • funkció/kialakítás: nagy teljesítményű érintkező tisztító 
 • leírás: Nagy oldóképességgel rendelkező anyag, az elektromos csatlakozások tisztításához. Nem vezeti az elektromosságot, nem okoz korróziót és nem hagy maradékot. / Nagyon érzékeny elektromos csatlakozók, mint pl. gépkocsik, kapcsolórelék, műszerfalak, riasztóberendezések tisztítására szolgál. 
 • egységcsomagolás: 200 ml</t>
        </is>
      </c>
    </row>
    <row r="2130">
      <c r="A2130" s="3" t="inlineStr">
        <is>
          <t>TK 460/200</t>
        </is>
      </c>
      <c r="B2130" s="2" t="inlineStr">
        <is>
          <t>Home TK 460/200 kontakttisztító spray, 200 ml</t>
        </is>
      </c>
      <c r="C2130" s="1" t="n">
        <v>2290.0</v>
      </c>
      <c r="D2130" s="7" t="n">
        <f>HYPERLINK("https://www.somogyi.hu/product/home-tk-460-200-kontakttisztito-spray-200-ml-tk-460-200-18272","https://www.somogyi.hu/product/home-tk-460-200-kontakttisztito-spray-200-ml-tk-460-200-18272")</f>
        <v>0.0</v>
      </c>
      <c r="E2130" s="7" t="n">
        <f>HYPERLINK("https://www.somogyi.hu/data/img/product_main_images/small/18272.jpg","https://www.somogyi.hu/data/img/product_main_images/small/18272.jpg")</f>
        <v>0.0</v>
      </c>
      <c r="F2130" s="2" t="inlineStr">
        <is>
          <t>5997539300433</t>
        </is>
      </c>
      <c r="G2130" s="4" t="inlineStr">
        <is>
          <t>A 200 ml-es TK 460 egy professzionális kontakt tisztítószer, amely kifejezetten az elektromos érintkezések oxidmentesítésére és a vezetőképesség visszaállítására szolgál. A TK 460 egy kémiailag aktív olaj tartalmú szer. Válassza a minőségi termékeket és rendeljen webáruházunkból.</t>
        </is>
      </c>
    </row>
    <row r="2131">
      <c r="A2131" s="3" t="inlineStr">
        <is>
          <t>TE01409 (MK K60)</t>
        </is>
      </c>
      <c r="B2131" s="2" t="inlineStr">
        <is>
          <t>Home TE01409 (MK K60) kontakttisztító spray, 300 ml</t>
        </is>
      </c>
      <c r="C2131" s="1" t="n">
        <v>3390.0</v>
      </c>
      <c r="D2131" s="7" t="n">
        <f>HYPERLINK("https://www.somogyi.hu/product/home-te01409-mk-k60-kontakttisztito-spray-300-ml-te01409-mk-k60-2482","https://www.somogyi.hu/product/home-te01409-mk-k60-kontakttisztito-spray-300-ml-te01409-mk-k60-2482")</f>
        <v>0.0</v>
      </c>
      <c r="E2131" s="7" t="n">
        <f>HYPERLINK("https://www.somogyi.hu/data/img/product_main_images/small/02482.jpg","https://www.somogyi.hu/data/img/product_main_images/small/02482.jpg")</f>
        <v>0.0</v>
      </c>
      <c r="F2131" s="2" t="inlineStr">
        <is>
          <t>5997074514098</t>
        </is>
      </c>
      <c r="G2131" s="4" t="inlineStr">
        <is>
          <t>Zavarja az elektronikai berendezések a szennyeződések miatti megbízhatatlansága? A Home TE01409 (MK K60) kontakttisztító spray a megoldás, amelyre szüksége van. 
Ez a 300 ml-es kiszerelésű, erőteljes hatékonyságú tisztítóspray kifejezetten az erősen szennyezett elektronikai berendezések, mint például kapcsolók, relék, potenciométerek és mindenfajta kontaktusok tisztítására lett tervezve.
A Home TE01409 (MK K60) nem csak tisztít, hanem meghosszabbítja elektronikai berendezései élettartamát is, megelőzve a korai meghibásodásokat és javítva azok teljesítményét. Az alkalmazása egyszerű és kényelmes, köszönhetően a precízen tervezett szórófejnek, amely lehetővé teszi a tisztítószer célzott és gazdaságos felvitelét, még a nehezen hozzáférhető helyeken is.
Ne hagyja, hogy a szennyeződések befolyásolják elektronikai eszközei teljesítményét. Használja a Home TE01409 (MK K60) kontakttisztító spray-t a tiszta és zavartalan működés érdekében.</t>
        </is>
      </c>
    </row>
    <row r="2132">
      <c r="A2132" s="3" t="inlineStr">
        <is>
          <t>TE01410 (MK K61)</t>
        </is>
      </c>
      <c r="B2132" s="2" t="inlineStr">
        <is>
          <t>Home TE01410 (MK K61) kontakttisztító és kenőspray, 300 ml</t>
        </is>
      </c>
      <c r="C2132" s="1" t="n">
        <v>3390.0</v>
      </c>
      <c r="D2132" s="7" t="n">
        <f>HYPERLINK("https://www.somogyi.hu/product/home-te01410-mk-k61-kontakttisztito-es-kenospray-300-ml-te01410-mk-k61-2483","https://www.somogyi.hu/product/home-te01410-mk-k61-kontakttisztito-es-kenospray-300-ml-te01410-mk-k61-2483")</f>
        <v>0.0</v>
      </c>
      <c r="E2132" s="7" t="n">
        <f>HYPERLINK("https://www.somogyi.hu/data/img/product_main_images/small/02483.jpg","https://www.somogyi.hu/data/img/product_main_images/small/02483.jpg")</f>
        <v>0.0</v>
      </c>
      <c r="F2132" s="2" t="inlineStr">
        <is>
          <t>5997074514104</t>
        </is>
      </c>
      <c r="G2132" s="4" t="inlineStr">
        <is>
          <t>Egy univerzális megoldást keres elektronikai eszközei karbantartására? A Home TE01410 (MK K61) kontakttisztító és kenőspray az, amire Önnek szüksége van. 
Ez a kettő az egyben megoldás, 300 ml-es kiszerelésben, nem csupán erősen szennyezett elektronikai berendezések tisztítására alkalmas, hanem azok kenését is biztosítja, így hosszabbítva meg az eszközök élettartamát. A Home TE01410 (MK K61) különleges formulája lehetővé teszi, hogy egy lépésben távolítsa el a szennyeződéseket és a korroziónak kitett felületeket, miközben egy vékony, védő kenőréteget hagy maga után. Ez a réteg csökkenti a súrlódást és megakadályozza az újabb szennyeződések lerakódását, ezáltal javítva a berendezések teljesítményét és megbízhatóságát. Az alkalmazás egyszerűsége révén, a precízen tervezett szórófejjel, a Home TE01410 (MK K61) tökéletes választás mindazok számára, akik gyors és hatékony megoldást keresnek elektronikai berendezéseik karbantartására. Legyen szó szakmai vagy otthoni használatról, ez a spray biztosítja az optimális eredményt.
Ne engedje, hogy a szennyeződések és a kopás csökkentsék eszközei élettartamát. Használja a Home TE01410 (MK K61) kontakttisztító és kenőspray-t, és biztosítsa elektronikai berendezései hosszú távú védelmét és zavartalan működését.</t>
        </is>
      </c>
    </row>
    <row r="2133">
      <c r="A2133" s="3" t="inlineStr">
        <is>
          <t>290513</t>
        </is>
      </c>
      <c r="B2133" s="2" t="inlineStr">
        <is>
          <t>Home 290513 MOTIP címkeeltávolító, 200 ml</t>
        </is>
      </c>
      <c r="C2133" s="1" t="n">
        <v>2890.0</v>
      </c>
      <c r="D2133" s="7" t="n">
        <f>HYPERLINK("https://www.somogyi.hu/product/home-290513-motip-cimkeeltavolito-200-ml-290513-16413","https://www.somogyi.hu/product/home-290513-motip-cimkeeltavolito-200-ml-290513-16413")</f>
        <v>0.0</v>
      </c>
      <c r="E2133" s="7" t="n">
        <f>HYPERLINK("https://www.somogyi.hu/data/img/product_main_images/small/16413.jpg","https://www.somogyi.hu/data/img/product_main_images/small/16413.jpg")</f>
        <v>0.0</v>
      </c>
      <c r="F2133" s="2" t="inlineStr">
        <is>
          <t>8711347236077</t>
        </is>
      </c>
      <c r="G2133" s="4" t="inlineStr">
        <is>
          <t xml:space="preserve"> • funkció/kialakítás: címke eltávolító 
 • leírás: alkalmas a kezelt és kezeletlen fém, fa, kő és különböző műanyag felületeken 
 • megtapadt zsír, kátrány, olaj, viasz, tinta, gyanta, matricák és ragasztó maradványok eltávolítására 
 • egységcsomagolás: 200 ml</t>
        </is>
      </c>
    </row>
    <row r="2134">
      <c r="A2134" s="3" t="inlineStr">
        <is>
          <t>W 330</t>
        </is>
      </c>
      <c r="B2134" s="2" t="inlineStr">
        <is>
          <t>Home W 330 szerelőzsír, 160°, 300 ml</t>
        </is>
      </c>
      <c r="C2134" s="1" t="n">
        <v>2290.0</v>
      </c>
      <c r="D2134" s="7" t="n">
        <f>HYPERLINK("https://www.somogyi.hu/product/home-w-330-szerelozsir-160-300-ml-w-330-3174","https://www.somogyi.hu/product/home-w-330-szerelozsir-160-300-ml-w-330-3174")</f>
        <v>0.0</v>
      </c>
      <c r="E2134" s="7" t="n">
        <f>HYPERLINK("https://www.somogyi.hu/data/img/product_main_images/small/03174.jpg","https://www.somogyi.hu/data/img/product_main_images/small/03174.jpg")</f>
        <v>0.0</v>
      </c>
      <c r="F2134" s="2" t="inlineStr">
        <is>
          <t>5998312734988</t>
        </is>
      </c>
      <c r="G2134" s="4" t="inlineStr">
        <is>
          <t>Egy megbízható kenőzsírt keres, amely megfelel az élelmiszeripari tisztasági követelményeknek és ellenáll a magas hőmérsékleteknek? A Home W 330 szerelőzsír pontosan ilyen: egy 160 °C-ig hőálló élelmiszeripari tisztaságú kenőzsír, amely kiválóan alkalmas a legkülönbözőbb ipari és otthoni alkalmazásokhoz.
Ez a különleges szerelőzsír ideális választás csapágyak, csúszó, mozgó és súrlódó alkatrészek, valamint láncok kenésére. Nem csak hogy csökkenti a súrlódást és elősegíti a simább működést, de korrózió elleni védelmet is nyújt, meghosszabbítva ezzel az alkatrészek élettartamát. A 300ml-es kiszerelés biztosítja, hogy elegendő zsír álljon rendelkezésre még a nagyobb projektekhez is.
A Home W 330 szerelőzsír nemcsak az ipari felhasználók számára jelent megoldást, hanem azok számára is, akik otthon szerelnek vagy karbantartanak élelmiszerrel érintkező gépeket és eszközöket, hiszen megfelel az élelmiszeripari tisztasági előírásoknak. Ez a kenőzsír biztonságosan használható olyan környezetben, ahol az élelmiszerbiztonság kulcsfontosságú.
Tegye zökkenőmentessé és hosszú távúvá gépei és eszközei működését a Home W 330 szerelőzsírral.</t>
        </is>
      </c>
    </row>
    <row r="2135">
      <c r="A2135" s="3" t="inlineStr">
        <is>
          <t>TE01411 (MK T600)</t>
        </is>
      </c>
      <c r="B2135" s="2" t="inlineStr">
        <is>
          <t>Home TE01411 (MK T600) precíziós kontakttisztító spray, 300 ml</t>
        </is>
      </c>
      <c r="C2135" s="1" t="n">
        <v>3390.0</v>
      </c>
      <c r="D2135" s="7" t="n">
        <f>HYPERLINK("https://www.somogyi.hu/product/home-te01411-mk-t600-precizios-kontakttisztito-spray-300-ml-te01411-mk-t600-2484","https://www.somogyi.hu/product/home-te01411-mk-t600-precizios-kontakttisztito-spray-300-ml-te01411-mk-t600-2484")</f>
        <v>0.0</v>
      </c>
      <c r="E2135" s="7" t="n">
        <f>HYPERLINK("https://www.somogyi.hu/data/img/product_main_images/small/02484.jpg","https://www.somogyi.hu/data/img/product_main_images/small/02484.jpg")</f>
        <v>0.0</v>
      </c>
      <c r="F2135" s="2" t="inlineStr">
        <is>
          <t>5997074514111</t>
        </is>
      </c>
      <c r="G2135" s="4" t="inlineStr">
        <is>
          <t>Vajon képes lehet egyetlen spray megóvni az érzékeny elektronikai berendezéseit a meghibásodástól? A Home TE01411 (MK T600) precíziós kontakttisztító sprayt pontosan erre tervezték. 
Ez a 300 ml-es kiszerelésű tisztítószer ideális a nagy érzékenységű elektromos készülékek, híradástechnikai eszközök és ipari berendezések tisztítására, maradékanyagok nélküli, gyors száradást garantálva.
A Home TE01411 (MK T600) nemcsak tisztítja a kontaktokat, hanem meghosszabbítja az eszközök élettartamát is, ezzel segítve Önt a karbantartási költségek csökkentésében. A spray hatékonyan távolítja el az oxidációt és a szennyeződéseket, miközben azonnal párolog, így nem hagy nyomot az alkalmazott felületeken. Az egyszerű használat lehetővé teszi, hogy bárki professzionális eredményeket érhessen el a napi karbantartás során.
Védelmezze híradástechnikai eszközeit, laboratóriumi és ipari készülékeit a Home TE01411 (MK T600) precíziós kontakttisztító spray segítségével, és biztosíthatja azok hosszú távú, megbízható működését.</t>
        </is>
      </c>
    </row>
    <row r="2136">
      <c r="A2136" s="6" t="inlineStr">
        <is>
          <t xml:space="preserve">   Mérés, szerszám, forrasztás / TRUE UTILITY</t>
        </is>
      </c>
      <c r="B2136" s="6" t="inlineStr">
        <is>
          <t/>
        </is>
      </c>
      <c r="C2136" s="6" t="inlineStr">
        <is>
          <t/>
        </is>
      </c>
      <c r="D2136" s="6" t="inlineStr">
        <is>
          <t/>
        </is>
      </c>
      <c r="E2136" s="6" t="inlineStr">
        <is>
          <t/>
        </is>
      </c>
      <c r="F2136" s="6" t="inlineStr">
        <is>
          <t/>
        </is>
      </c>
      <c r="G2136" s="6" t="inlineStr">
        <is>
          <t/>
        </is>
      </c>
    </row>
    <row r="2137">
      <c r="A2137" s="3" t="inlineStr">
        <is>
          <t>TU919K</t>
        </is>
      </c>
      <c r="B2137" s="2" t="inlineStr">
        <is>
          <t>True Utility Buttonlite, TU919K, tölthető lámpa, 4 funkció, 47 lm COB LED, Li-ion, rozsdamentes acélváz</t>
        </is>
      </c>
      <c r="C2137" s="1" t="n">
        <v>7590.0</v>
      </c>
      <c r="D2137" s="7" t="n">
        <f>HYPERLINK("https://www.somogyi.hu/product/true-utility-buttonlite-tu919k-toltheto-lampa-4-funkcio-47-lm-cob-led-li-ion-rozsdamentes-acelvaz-tu919k-17453","https://www.somogyi.hu/product/true-utility-buttonlite-tu919k-toltheto-lampa-4-funkcio-47-lm-cob-led-li-ion-rozsdamentes-acelvaz-tu919k-17453")</f>
        <v>0.0</v>
      </c>
      <c r="E2137" s="7" t="n">
        <f>HYPERLINK("https://www.somogyi.hu/data/img/product_main_images/small/17453.jpg","https://www.somogyi.hu/data/img/product_main_images/small/17453.jpg")</f>
        <v>0.0</v>
      </c>
      <c r="F2137" s="2" t="inlineStr">
        <is>
          <t>5060063226545</t>
        </is>
      </c>
      <c r="G2137" s="4" t="inlineStr">
        <is>
          <t>A TU919 egy szupererős fényű mini munkalámpa, amely újratölthető és praktikusan rögzíthető táskára, ingre, nadrághoz, kulcstartóhoz, hogy mindig kéznél legyen.
A LED lámpa 47 lumenes és négy funkciója van: 
statikus fehér / kis fényerejű statikus fehér / statikus piros / villogó piros fény
Az üzemidő akár 20 óra is lehet. 
Alapanyaga fekete titánium bevonatú, 420-as minőségű rozsdamentes acél.
Vásároljon minőségi és megbízható termékeket webáruházunkból!</t>
        </is>
      </c>
    </row>
    <row r="2138">
      <c r="A2138" s="3" t="inlineStr">
        <is>
          <t>TU590</t>
        </is>
      </c>
      <c r="B2138" s="2" t="inlineStr">
        <is>
          <t>True Utility Crafty, TU590, fekete titániumbevonatú nyél, cserélhető penge, összecsukható</t>
        </is>
      </c>
      <c r="C2138" s="1" t="n">
        <v>4790.0</v>
      </c>
      <c r="D2138" s="7" t="n">
        <f>HYPERLINK("https://www.somogyi.hu/product/true-utility-crafty-tu590-fekete-titaniumbevonatu-nyel-cserelheto-penge-osszecsukhato-tu590-17462","https://www.somogyi.hu/product/true-utility-crafty-tu590-fekete-titaniumbevonatu-nyel-cserelheto-penge-osszecsukhato-tu590-17462")</f>
        <v>0.0</v>
      </c>
      <c r="E2138" s="7" t="n">
        <f>HYPERLINK("https://www.somogyi.hu/data/img/product_main_images/small/17462.jpg","https://www.somogyi.hu/data/img/product_main_images/small/17462.jpg")</f>
        <v>0.0</v>
      </c>
      <c r="F2138" s="2" t="inlineStr">
        <is>
          <t>5060063226033</t>
        </is>
      </c>
      <c r="G2138" s="4" t="inlineStr">
        <is>
          <t>Szüksége van egy késre, amely kis helyet foglal, de minden kihívásnak megfelel? Fedezze fel a True Utility Crafty TU590 modellt, amely kicsi, de roppant praktikus társ lehet mindennapi kalandjai során.
A True Utility Crafty TU590 egy összecsukható, kompakt kés, amely tökéletes választás lehet mindazok számára, akik szeretnek kirándulni, túrázni vagy egyszerűen csak szeretik maguknál tudni a szükséges szerszámokat. Az elegáns fekete titánium bevonatú nyél nem csak esztétikus, hanem rendkívül tartós is, így a kés akár éveken át megbízható társ lehet. Az egyszerűen cserélhető pengékkel a True Utility Crafty TU590 mindig éles maradhat, míg a mellékelt pótpengék biztosítják, hogy sosem marad kés nélkül.
Kialakításának köszönhetően a kés könnyedén rögzíthető hátizsákhoz vagy ruházathoz, így mindig kéznél van, amikor szükség van rá. Az 11 x 2,6 x 0,9 cm méretével a True Utility Crafty TU590 a zsebben vagy a táskában is alig foglal helyet, így tökéletes társ lehet minden utazáshoz.
Legyen szó bármilyen feladatról, a True Utility Crafty TU590 minden kihívást könnyedén megold. Tegye a kosarába ma, és vigye magával ezt a megbízható eszközt minden kalandjára!</t>
        </is>
      </c>
    </row>
    <row r="2139">
      <c r="A2139" s="3" t="inlineStr">
        <is>
          <t>TU214K</t>
        </is>
      </c>
      <c r="B2139" s="2" t="inlineStr">
        <is>
          <t>True Utility Sharkey, TU214K, 12 in 1, csavarkulcs, csavarhúzó, reszelő, damilvágó</t>
        </is>
      </c>
      <c r="C2139" s="1" t="n">
        <v>4990.0</v>
      </c>
      <c r="D2139" s="7" t="n">
        <f>HYPERLINK("https://www.somogyi.hu/product/true-utility-sharkey-tu214k-12-in-1-csavarkulcs-csavarhuzo-reszelo-damilvago-tu214k-17437","https://www.somogyi.hu/product/true-utility-sharkey-tu214k-12-in-1-csavarkulcs-csavarhuzo-reszelo-damilvago-tu214k-17437")</f>
        <v>0.0</v>
      </c>
      <c r="E2139" s="7" t="n">
        <f>HYPERLINK("https://www.somogyi.hu/data/img/product_main_images/small/17437.jpg","https://www.somogyi.hu/data/img/product_main_images/small/17437.jpg")</f>
        <v>0.0</v>
      </c>
      <c r="F2139" s="2" t="inlineStr">
        <is>
          <t>5060063226248</t>
        </is>
      </c>
      <c r="G2139" s="4" t="inlineStr">
        <is>
          <t>Egy olyan eszközt keres, ami mindig kéznél van, és minden szükséges funkciót magában foglal? Fedezze fel a True Utility Sharkey TU214K-t, a zsebméretű, 12 funkciós csodát, amely minden helyzetben a segítségére lehet!
A True Utility Sharkey TU214K egy rendkívül kompakt, multifunkcionális szerszám, amely mindössze 2,5 x 0,8 x 6,8 cm méretű. Ennek ellenére 12 különböző funkciót nyújt, beleértve a karabinert, különböző méretű laposfejű és csillagcsavarhúzókat, reszelőt, körömtisztítót, damilvágót, 1/4" csavarkulcsot és sörnyitót. Egyesíti a praktikumot és a hordozhatóságot, így ideális társ lehet kirándulásokon, otthoni munkáknál vagy akár mindennapi használatra.
A Sharkey kiváló minőségű anyagokból készült, így garantálja a tartósságot és az ellenálló képességet a mindennapi használat során. Ultra kompakt kialakítása lehetővé teszi, hogy a kulcstartóján is hordozza, így soha nem marad szerszám nélkül, amikor a legnagyobb szükség van rá.
Használja ki a True Utility Sharkey TU214K által nyújtott sokoldalúságot, és tegye könnyebbé és hatékonyabbá a mindennapi feladatait!</t>
        </is>
      </c>
    </row>
    <row r="2140">
      <c r="A2140" s="3" t="inlineStr">
        <is>
          <t>TU921</t>
        </is>
      </c>
      <c r="B2140" s="2" t="inlineStr">
        <is>
          <t>True Utility Keyshackle, TU921, 7 in 1, multifunkcionális szerszám, csavarhúzó, fekete titániumbevonatú karabiner , valódi bőr</t>
        </is>
      </c>
      <c r="C2140" s="1" t="n">
        <v>5590.0</v>
      </c>
      <c r="D2140" s="7" t="n">
        <f>HYPERLINK("https://www.somogyi.hu/product/true-utility-keyshackle-tu921-7-in-1-multifunkcionalis-szerszam-csavarhuzo-fekete-titaniumbevonatu-karabiner-valodi-bor-tu921-17445","https://www.somogyi.hu/product/true-utility-keyshackle-tu921-7-in-1-multifunkcionalis-szerszam-csavarhuzo-fekete-titaniumbevonatu-karabiner-valodi-bor-tu921-17445")</f>
        <v>0.0</v>
      </c>
      <c r="E2140" s="7" t="n">
        <f>HYPERLINK("https://www.somogyi.hu/data/img/product_main_images/small/17445.jpg","https://www.somogyi.hu/data/img/product_main_images/small/17445.jpg")</f>
        <v>0.0</v>
      </c>
      <c r="F2140" s="2" t="inlineStr">
        <is>
          <t>5060063227290</t>
        </is>
      </c>
      <c r="G2140" s="4" t="inlineStr">
        <is>
          <t>Ez a termék egy kulcsrendező multitool eszköz, amely 2-4 kulcs elrendezésére szolgál. A biztonságos félgyűrűnek köszönhetően, pillanatok alatt cserélhetőek a kulcsok.
Egy valódi bőrből készült karabíneres kulcstartó és multifunkciós szerszám is egyben, amely 7 funkciót lát el:
kicsi/közepes/nagy laposfejű csavarhúzó, kábelcsupaszoló és vágó, körömtisztító, sörnyitó, reszelő • 2-4 kulcs rözítésére alkalmas • valódi bőr szíj • fekete titánium bevonatos karabíner
Vásároljon minőségi és megbízható termékeket webáruházunkból!</t>
        </is>
      </c>
    </row>
    <row r="2141">
      <c r="A2141" s="3" t="inlineStr">
        <is>
          <t>TU918</t>
        </is>
      </c>
      <c r="B2141" s="2" t="inlineStr">
        <is>
          <t>True Utility Cliplite, TU918, kulcstartó karabiner, tölthető lámpa, 4 funkció, 47 lm COB LED, Li-ion, marhabőr szíj, rozsdamentes acélváz</t>
        </is>
      </c>
      <c r="C2141" s="1" t="n">
        <v>7890.0</v>
      </c>
      <c r="D2141" s="7" t="n">
        <f>HYPERLINK("https://www.somogyi.hu/product/true-utility-cliplite-tu918-kulcstarto-karabiner-toltheto-lampa-4-funkcio-47-lm-cob-led-li-ion-marhabor-szij-rozsdamentes-acelvaz-tu918-17452","https://www.somogyi.hu/product/true-utility-cliplite-tu918-kulcstarto-karabiner-toltheto-lampa-4-funkcio-47-lm-cob-led-li-ion-marhabor-szij-rozsdamentes-acelvaz-tu918-17452")</f>
        <v>0.0</v>
      </c>
      <c r="E2141" s="7" t="n">
        <f>HYPERLINK("https://www.somogyi.hu/data/img/product_main_images/small/17452.jpg","https://www.somogyi.hu/data/img/product_main_images/small/17452.jpg")</f>
        <v>0.0</v>
      </c>
      <c r="F2141" s="2" t="inlineStr">
        <is>
          <t>5060063225364</t>
        </is>
      </c>
      <c r="G2141" s="4" t="inlineStr">
        <is>
          <t>A TU918 kulcstartó, karabiner és újratölthető lámpa egyben.
 A karabiner titánium bevonatú, amelyen egy újratölthető 47 lumenes fényerejű lámpa funkcionál, amelyben beépített Li-ion akkumulátor üzemel.
A valódi marhabőr szíjon az akkumulátoros lámpa újratölthető és 4 üzemben működik:
nagy fényerejű statikus fehér / kis fényerejű statikus fehér / statikus piros / villogó piros fény
Tartozékul szolgál a micro USB töltőkábel és beépített micro USB aljzat.
Vásároljon minőségi és megbízható termékeket webáruházunkból!</t>
        </is>
      </c>
    </row>
    <row r="2142">
      <c r="A2142" s="3" t="inlineStr">
        <is>
          <t>TU180K</t>
        </is>
      </c>
      <c r="B2142" s="2" t="inlineStr">
        <is>
          <t>True Utility Seven, TU180K, 9 in 1, rozsdamentes acélváz, eloxált alumínium fogantyú, multifunkcionális</t>
        </is>
      </c>
      <c r="C2142" s="1" t="n">
        <v>7590.0</v>
      </c>
      <c r="D2142" s="7" t="n">
        <f>HYPERLINK("https://www.somogyi.hu/product/true-utility-seven-tu180k-9-in-1-rozsdamentes-acelvaz-eloxalt-aluminium-fogantyu-multifunkcionalis-tu180k-17447","https://www.somogyi.hu/product/true-utility-seven-tu180k-9-in-1-rozsdamentes-acelvaz-eloxalt-aluminium-fogantyu-multifunkcionalis-tu180k-17447")</f>
        <v>0.0</v>
      </c>
      <c r="E2142" s="7" t="n">
        <f>HYPERLINK("https://www.somogyi.hu/data/img/product_main_images/small/17447.jpg","https://www.somogyi.hu/data/img/product_main_images/small/17447.jpg")</f>
        <v>0.0</v>
      </c>
      <c r="F2142" s="2" t="inlineStr">
        <is>
          <t>5060063226156</t>
        </is>
      </c>
      <c r="G2142" s="4" t="inlineStr">
        <is>
          <t>Egy megbízható, minden helyzetre kész multifunkciós szerszámot keres, amely könnyen elfér a zsebében? Fedezze fel a True Utility Seven TU180K-t, amely 9 különböző funkciót egyesít egy szuper kompakt kialakításban!
A True Utility Seven TU180K több mint egy szokásos multifunkciós szerszám; ez egy igazi mindenes, amely a mindennapi kihívásokhoz készült. Az eszköz magában foglal egy rugós, rozsdamentes acélból készült harapófogót, drótvágót, csillagfejű és laposfejű csavarhúzót, továbbá egy kés, fűrész, sörnyitó, karabiner és reszelő is helyet kapott benne. A szerszámok rozsdamentes acélból készültek, így garantált az időtállóság és a megbízhatóság.
Az ergonómikusan tervezett fogantyú eloxált alumíniumból készült, ami nemcsak a tartósságot növeli, hanem a kényelmet is biztosítja használat közben. A gyorsan csatlakoztatható karabiner segítségével könnyedén rögzítheti a szerszámot övére, hátizsákjára vagy akár kulcstartójára is, így mindig kéznél lesz, amikor szüksége van rá. A True Utility Seven TU180K tökéletes társ a mindennapi kalandokhoz, legyen szó otthoni javításról, kempingezésről vagy akár túrázásról. Méretei – összecsukva mindössze 8,5x3x1,5 cm – lehetővé teszik, hogy bárhol elférjen, anélkül, hogy sok helyet foglalna.
Ne hagyja ki ezt a rendkívüli eszközt, amely megkönnyíti napjait, bárhol is legyen! Rendelje meg most a True Utility Seven TU180K-t, és álljon készen minden helyzetre!</t>
        </is>
      </c>
    </row>
    <row r="2143">
      <c r="A2143" s="3" t="inlineStr">
        <is>
          <t>TRU-MTL-0004-G</t>
        </is>
      </c>
      <c r="B2143" s="2" t="inlineStr">
        <is>
          <t>True Utlity Ti Pocket Multi Tool, TRU-MTL-0004-G, 7 funkicós titán szerszámkészlet, 7 cm titán-nitrid penge, eloxált alumínium ház</t>
        </is>
      </c>
      <c r="C2143" s="1" t="n">
        <v>16990.0</v>
      </c>
      <c r="D2143" s="7" t="n">
        <f>HYPERLINK("https://www.somogyi.hu/product/true-utlity-ti-pocket-multi-tool-tru-mtl-0004-g-7-funkicos-titan-szerszamkeszlet-7-cm-titan-nitrid-penge-eloxalt-aluminium-haz-tru-mtl-0004-g-17841","https://www.somogyi.hu/product/true-utlity-ti-pocket-multi-tool-tru-mtl-0004-g-7-funkicos-titan-szerszamkeszlet-7-cm-titan-nitrid-penge-eloxalt-aluminium-haz-tru-mtl-0004-g-17841")</f>
        <v>0.0</v>
      </c>
      <c r="E2143" s="7" t="n">
        <f>HYPERLINK("https://www.somogyi.hu/data/img/product_main_images/small/17841.jpg","https://www.somogyi.hu/data/img/product_main_images/small/17841.jpg")</f>
        <v>0.0</v>
      </c>
      <c r="F2143" s="2" t="inlineStr">
        <is>
          <t>5060063229577</t>
        </is>
      </c>
      <c r="G2143" s="4" t="inlineStr">
        <is>
          <t xml:space="preserve"> • jellemzők: "minden az egyben" titán szerszámkészlet • 7 funkció • 7 cm pengehosszúságú kés, rugós, rozsdamentes harapófogó, drótvágó, csavarhúzó, fűrész, lyukasztó és sörnyitó • eloxált alumínium ház • titán-nitrid bevonatú kés és szerszámok 
 • méretek: (összecsukva) 24,4 x 15,2 x 3,4 cm 
 • alapanyag: fém</t>
        </is>
      </c>
    </row>
    <row r="2144">
      <c r="A2144" s="3" t="inlineStr">
        <is>
          <t>TRU-MTL-0002-G</t>
        </is>
      </c>
      <c r="B2144" s="2" t="inlineStr">
        <is>
          <t>True Utility Dual Cutter, TRU-MTL-0002-G, 2 in 1, 7 cm tanto penge, rugós olló, rozsdamentes acél penge, eloxált alumínium tok</t>
        </is>
      </c>
      <c r="C2144" s="1" t="n">
        <v>7890.0</v>
      </c>
      <c r="D2144" s="7" t="n">
        <f>HYPERLINK("https://www.somogyi.hu/product/true-utility-dual-cutter-tru-mtl-0002-g-2-in-1-7-cm-tanto-penge-rugos-ollo-rozsdamentes-acel-penge-eloxalt-aluminium-tok-tru-mtl-0002-g-17840","https://www.somogyi.hu/product/true-utility-dual-cutter-tru-mtl-0002-g-2-in-1-7-cm-tanto-penge-rugos-ollo-rozsdamentes-acel-penge-eloxalt-aluminium-tok-tru-mtl-0002-g-17840")</f>
        <v>0.0</v>
      </c>
      <c r="E2144" s="7" t="n">
        <f>HYPERLINK("https://www.somogyi.hu/data/img/product_main_images/small/17840.jpg","https://www.somogyi.hu/data/img/product_main_images/small/17840.jpg")</f>
        <v>0.0</v>
      </c>
      <c r="F2144" s="2" t="inlineStr">
        <is>
          <t>5060063229201</t>
        </is>
      </c>
      <c r="G2144" s="4" t="inlineStr">
        <is>
          <t xml:space="preserve"> • jellemzők: 2 in 1 vágószerszám • 7 cm tanto kés • egykezes, rögzíthető penge • 4 cm vágóélű rugós olló • eloxált alumínium tokozás • rozsdamentes acél penge 
 • méretek: (összecsukva) 10 x 3 x 2 cm 
 • alapanyag: fém</t>
        </is>
      </c>
    </row>
    <row r="2145">
      <c r="A2145" s="3" t="inlineStr">
        <is>
          <t>TU215K</t>
        </is>
      </c>
      <c r="B2145" s="2" t="inlineStr">
        <is>
          <t>True Utility Nailclip Kit, TU215K, körömápoló készlet, rozsdamentes acél</t>
        </is>
      </c>
      <c r="C2145" s="1" t="n">
        <v>4990.0</v>
      </c>
      <c r="D2145" s="7" t="n">
        <f>HYPERLINK("https://www.somogyi.hu/product/true-utility-nailclip-kit-tu215k-koromapolo-keszlet-rozsdamentes-acel-tu215k-17444","https://www.somogyi.hu/product/true-utility-nailclip-kit-tu215k-koromapolo-keszlet-rozsdamentes-acel-tu215k-17444")</f>
        <v>0.0</v>
      </c>
      <c r="E2145" s="7" t="n">
        <f>HYPERLINK("https://www.somogyi.hu/data/img/product_main_images/small/17444.jpg","https://www.somogyi.hu/data/img/product_main_images/small/17444.jpg")</f>
        <v>0.0</v>
      </c>
      <c r="F2145" s="2" t="inlineStr">
        <is>
          <t>5060063227023</t>
        </is>
      </c>
      <c r="G2145" s="4" t="inlineStr">
        <is>
          <t>Ön is szeretne mindig ápolt megjelenésű lenni, még útközben is? Fedezze fel a True Utility Nailclip Kit TU215K-t, az ultrakompakt körömápoló készletet, amely bárhová elkíséri!
A True Utility Nailclip Kit TU215K egy 5 funkciós körömápoló szett, amely kifejezetten azok számára készült, akik nem elégszenek meg a kompromisszumokkal, ha személyes ápolásról van szó. Ez a készlet tartalmaz egy körömcsipeszt, kést, körömreszelőt, körömtisztítót, és körömvágó ollót, így biztosíthatja körmei tökéletes állapotát bárhol, bármikor.
Minőségi rozsdamentes acélból készült, így a True Utility Nailclip Kit garantálja a tartósságot és ellenállóságot a mindennapi használat során. Kompakt méreteinek (5,6 x 1,5 x 0,9 cm) köszönhetően könnyedén elfér zsebben, táskában vagy akár az autó kesztyűtartójában is.
Többé ne hagyja, hogy a rohanó életmód áldozata legyen a körmeinek ápoltsága! A True Utility Nailclip Kit kis mérete ellenére minden szükséges eszközt biztosít a körömápoláshoz.</t>
        </is>
      </c>
    </row>
    <row r="2146">
      <c r="A2146" s="3" t="inlineStr">
        <is>
          <t>TU571K</t>
        </is>
      </c>
      <c r="B2146" s="2" t="inlineStr">
        <is>
          <t>True Utility Skeletonknife, TU571K, 4 cm rozsdamentes acél penge, eloxált alumínium tok, karabíner rögzítési pont, jobb és balkezes</t>
        </is>
      </c>
      <c r="C2146" s="1" t="n">
        <v>4590.0</v>
      </c>
      <c r="D2146" s="7" t="n">
        <f>HYPERLINK("https://www.somogyi.hu/product/true-utility-skeletonknife-tu571k-4-cm-rozsdamentes-acel-penge-eloxalt-aluminium-tok-karabiner-rogzitesi-pont-jobb-es-balkezes-tu571k-17670","https://www.somogyi.hu/product/true-utility-skeletonknife-tu571k-4-cm-rozsdamentes-acel-penge-eloxalt-aluminium-tok-karabiner-rogzitesi-pont-jobb-es-balkezes-tu571k-17670")</f>
        <v>0.0</v>
      </c>
      <c r="E2146" s="7" t="n">
        <f>HYPERLINK("https://www.somogyi.hu/data/img/product_main_images/small/17670.jpg","https://www.somogyi.hu/data/img/product_main_images/small/17670.jpg")</f>
        <v>0.0</v>
      </c>
      <c r="F2146" s="2" t="inlineStr">
        <is>
          <t>5060063227108</t>
        </is>
      </c>
      <c r="G2146" s="4" t="inlineStr">
        <is>
          <t xml:space="preserve"> • jellemzők: rögzíthető penge • rozsdamentes acél penge • 4 cm pengehossz • eloxált alumínium tokozás • jobb- és balkezesek számára is kényelmes fogás • rögzítési pont karabíner számára 
 • méretek: 6,3 x 2,4 x 0,65 cm 
 • alapanyag: fém</t>
        </is>
      </c>
    </row>
    <row r="2147">
      <c r="A2147" s="3" t="inlineStr">
        <is>
          <t>TU246K</t>
        </is>
      </c>
      <c r="B2147" s="2" t="inlineStr">
        <is>
          <t>True Utility Telepen, TU246K, teleszkópos kialakítás, szálcsiszolt rozsdamentes acél test, alumínium ház, 3 tollbetét, mágneses vég</t>
        </is>
      </c>
      <c r="C2147" s="1" t="n">
        <v>2990.0</v>
      </c>
      <c r="D2147" s="7" t="n">
        <f>HYPERLINK("https://www.somogyi.hu/product/true-utility-telepen-tu246k-teleszkopos-kialakitas-szalcsiszolt-rozsdamentes-acel-test-aluminium-haz-3-tollbetet-magneses-veg-tu246k-17669","https://www.somogyi.hu/product/true-utility-telepen-tu246k-teleszkopos-kialakitas-szalcsiszolt-rozsdamentes-acel-test-aluminium-haz-3-tollbetet-magneses-veg-tu246k-17669")</f>
        <v>0.0</v>
      </c>
      <c r="E2147" s="7" t="n">
        <f>HYPERLINK("https://www.somogyi.hu/data/img/product_main_images/small/17669.jpg","https://www.somogyi.hu/data/img/product_main_images/small/17669.jpg")</f>
        <v>0.0</v>
      </c>
      <c r="F2147" s="2" t="inlineStr">
        <is>
          <t>5060063227443</t>
        </is>
      </c>
      <c r="G2147" s="4" t="inlineStr">
        <is>
          <t xml:space="preserve"> • jellemzők: különleges, teleszkópos kialakítás • tartozék 3 tollbetét • mágneses vég 
 • méretek: összetolva, kupakkal, kulcskarika nélkül: ∅0,7 x 6 cm 
 • alapanyag: acél / alumínium</t>
        </is>
      </c>
    </row>
    <row r="2148">
      <c r="A2148" s="3" t="inlineStr">
        <is>
          <t>TU206K</t>
        </is>
      </c>
      <c r="B2148" s="2" t="inlineStr">
        <is>
          <t>True Utility Fishface, TU206K, 18 in 1, csavarkulcs, laposfejű csavarhúzó, fekete titánbevonat, rozsdamentes acél váz</t>
        </is>
      </c>
      <c r="C2148" s="1" t="n">
        <v>4390.0</v>
      </c>
      <c r="D2148" s="7" t="n">
        <f>HYPERLINK("https://www.somogyi.hu/product/true-utility-fishface-tu206k-18-in-1-csavarkulcs-laposfeju-csavarhuzo-fekete-titanbevonat-rozsdamentes-acel-vaz-tu206k-17438","https://www.somogyi.hu/product/true-utility-fishface-tu206k-18-in-1-csavarkulcs-laposfeju-csavarhuzo-fekete-titanbevonat-rozsdamentes-acel-vaz-tu206k-17438")</f>
        <v>0.0</v>
      </c>
      <c r="E2148" s="7" t="n">
        <f>HYPERLINK("https://www.somogyi.hu/data/img/product_main_images/small/17438.jpg","https://www.somogyi.hu/data/img/product_main_images/small/17438.jpg")</f>
        <v>0.0</v>
      </c>
      <c r="F2148" s="2" t="inlineStr">
        <is>
          <t>5060063226217</t>
        </is>
      </c>
      <c r="G2148" s="4" t="inlineStr">
        <is>
          <t>Vajon létezik egy többcélú szerszám, amely egyszerre kicsi, mégis mindent tud? A True Utility Fishface TU206K pontosan ilyen: egy zsebben is elférő, 18-funkciós mini szerszám, amely minden helyzetben a segítségére lehet!
A True Utility Fishface TU206K egy kivételesen sokoldalú eszköz, amely 18 különböző funkciót ötvöz egyetlen, kompakt kialakításban. Minden, amire szüksége lehet, megtalálható ebben az eszközben: karabiner, különböző méretű laposfejű és csillagfejű csavarhúzók, feszítő, küllőkulcs, biztonsági penge, több méretű csavarkulcs, sörnyitó, körömtisztító és reszelő. Ez a sokoldalúság teszi ideálissá mindenféle kültéri tevékenységhez, otthoni apróságokhoz vagy akár az autószereléshez is.
Kialakítása fekete titánréteggel bevont rozsdamentes acél, ami nemcsak elegáns megjelenést kölcsönöz neki, hanem rendkívül tartóssá és ellenállóvá is teszi az időjárás viszontagságaival szemben. Méretei (7x2,9x0,9 cm) lehetővé teszik, hogy akár a kulcstartóján is magával vihesse, így mindig kéznél lesz, amikor szükség van rá.
A True Utility Fishface nem csak a funkciók sokaságával, hanem könnyű hordozhatóságával is kiemelkedik. Legyen szó kempingezésről, biciklitúráról vagy egyszerű házi munkákról, ez a multifunkciós szerszám minden helyzetben nélkülözhetetlen társa lesz.</t>
        </is>
      </c>
    </row>
    <row r="2149">
      <c r="A2149" s="3" t="inlineStr">
        <is>
          <t>TU251K</t>
        </is>
      </c>
      <c r="B2149" s="2" t="inlineStr">
        <is>
          <t>True Utility Cashstash+, TU251K, vészhelyzeti bankjegy tároló, alumínium kivitel, kulcstartó, vízálló</t>
        </is>
      </c>
      <c r="C2149" s="1" t="n">
        <v>3790.0</v>
      </c>
      <c r="D2149" s="7" t="n">
        <f>HYPERLINK("https://www.somogyi.hu/product/true-utility-cashstash-tu251k-veszhelyzeti-bankjegy-tarolo-aluminium-kivitel-kulcstarto-vizallo-tu251k-17439","https://www.somogyi.hu/product/true-utility-cashstash-tu251k-veszhelyzeti-bankjegy-tarolo-aluminium-kivitel-kulcstarto-vizallo-tu251k-17439")</f>
        <v>0.0</v>
      </c>
      <c r="E2149" s="7" t="n">
        <f>HYPERLINK("https://www.somogyi.hu/data/img/product_main_images/small/17439.jpg","https://www.somogyi.hu/data/img/product_main_images/small/17439.jpg")</f>
        <v>0.0</v>
      </c>
      <c r="F2149" s="2" t="inlineStr">
        <is>
          <t>5060063226279</t>
        </is>
      </c>
      <c r="G2149" s="4" t="inlineStr">
        <is>
          <t>A magas szinten formatervezett TU251K termékünk egy vízálló csúcsminőségű alumínium anyagú kulcstartó, amely egyúttal egyetlen bankjegy számára biztosít vízálló helyet.
Pénzrögzítő funkciójának köszönhetően a bankjegy nem csúszik ki a tartóból.
Vásároljon minőségi és megbízható termékeket webáruházunkból!</t>
        </is>
      </c>
    </row>
    <row r="2150">
      <c r="A2150" s="3" t="inlineStr">
        <is>
          <t>TU208K</t>
        </is>
      </c>
      <c r="B2150" s="2" t="inlineStr">
        <is>
          <t>True Utility Minimalist, TU208K, multifunkcionális szerszám, designer kés, fekete titánbevonat, rozsdamentes acél penge</t>
        </is>
      </c>
      <c r="C2150" s="1" t="n">
        <v>7590.0</v>
      </c>
      <c r="D2150" s="7" t="n">
        <f>HYPERLINK("https://www.somogyi.hu/product/true-utility-minimalist-tu208k-multifunkcionalis-szerszam-designer-kes-fekete-titanbevonat-rozsdamentes-acel-penge-tu208k-17440","https://www.somogyi.hu/product/true-utility-minimalist-tu208k-multifunkcionalis-szerszam-designer-kes-fekete-titanbevonat-rozsdamentes-acel-penge-tu208k-17440")</f>
        <v>0.0</v>
      </c>
      <c r="E2150" s="7" t="n">
        <f>HYPERLINK("https://www.somogyi.hu/data/img/product_main_images/small/17440.jpg","https://www.somogyi.hu/data/img/product_main_images/small/17440.jpg")</f>
        <v>0.0</v>
      </c>
      <c r="F2150" s="2" t="inlineStr">
        <is>
          <t>5060063226224</t>
        </is>
      </c>
      <c r="G2150" s="4" t="inlineStr">
        <is>
          <t xml:space="preserve"> • jellemzők: designer kés és multifunkciós szerszám • karabíner, sörnyitó, kicsi/nagy laposfejű csavarhúzó, reszelő, damilvágó, fekete titánréteggel bevont, rozsdamentes acél kés • könnyű, vékony és kis helyen is elfér 
 • méretek: (összecsukva) 8,6 x 2 x 1,2 cm 
 • alapanyag: fém</t>
        </is>
      </c>
    </row>
    <row r="2151">
      <c r="A2151" s="3" t="inlineStr">
        <is>
          <t>TU181</t>
        </is>
      </c>
      <c r="B2151" s="2" t="inlineStr">
        <is>
          <t>True Utility Handyone, TU181, 18 in 1, 7 cm penge, mágneses bitfej tartó, 9 féle bitfej, rozsdamentes acélváz, eluxált alumínium fogantyú</t>
        </is>
      </c>
      <c r="C2151" s="1" t="n">
        <v>11390.0</v>
      </c>
      <c r="D2151" s="7" t="n">
        <f>HYPERLINK("https://www.somogyi.hu/product/true-utility-handyone-tu181-18-in-1-7-cm-penge-magneses-bitfej-tarto-9-fele-bitfej-rozsdamentes-acelvaz-eluxalt-aluminium-fogantyu-tu181-17446","https://www.somogyi.hu/product/true-utility-handyone-tu181-18-in-1-7-cm-penge-magneses-bitfej-tarto-9-fele-bitfej-rozsdamentes-acelvaz-eluxalt-aluminium-fogantyu-tu181-17446")</f>
        <v>0.0</v>
      </c>
      <c r="E2151" s="7" t="n">
        <f>HYPERLINK("https://www.somogyi.hu/data/img/product_main_images/small/17446.jpg","https://www.somogyi.hu/data/img/product_main_images/small/17446.jpg")</f>
        <v>0.0</v>
      </c>
      <c r="F2151" s="2" t="inlineStr">
        <is>
          <t>5060063226958</t>
        </is>
      </c>
      <c r="G2151" s="4" t="inlineStr">
        <is>
          <t>Ön is szereti a multifunkciós, praktikus eszközöket, amelyek minden helyzetben segítségére vannak? Akkor a True Utility Handyone TU181 az, amit keres! Ez a 18 az 1-ben multifunkciós szerszám tökéletes társa lesz bárhol, bármikor.
A True Utility Handyone TU181 egy kompakt, mégis rendkívül sokoldalú kéziszerszám, amely szinte minden szükséges eszközt tartalmaz, amire szüksége lehet. Az ergonomikus kialakítású fogantyú eloxált alumíniumból készült, ami nemcsak tartóssá teszi, de a kezelhetőségét is maximálisan biztosítja. A rozsdamentes acélváz garantálja a szerszám hosszú élettartamát és ellenállóságát.
A Handyone TU181 szerszámok között megtalálható a rugós, rozsdamentes harapófogó, drótvágó, többféle csavarhúzó – lapos és csillagfejű változatokban –, fűrész, sörnyitó, és egy 7 cm hosszúságú fogazott penge. A készlethez tartozik egy mágneses bitfej tartó is, mely 9 különböző bitfejjel van ellátva, beleértve a Phillips, lapos fejű és hatlapfejű bitfejeket, így biztosan minden csavarhoz megtalálja a megfelelőt.
Az eszközt egy praktikus tok egészíti ki, amely nemcsak megkönnyíti a bitfejek tárolását, de segítségével a szerszámot könnyedén magával viheti bárhová. Az összecsukott mérete mindössze 10,8x3,8x2,5 cm, így zsebben, táskában kényelmesen hordozható.
Fedezze fel a True Utility Handyone TU181 multifunkciós szerszám nyújtotta lehetőségeket, legyen szó otthoni munkálatokról, kempingezésről vagy akár autószerelésről. Ne hagyja otthon ezt az univerzális segítőtársat, amely minden helyzetben a segítségére lesz! Rendelje meg most, és élvezze a mindenre kész multifunkciós szerszám előnyeit!</t>
        </is>
      </c>
    </row>
    <row r="2152">
      <c r="A2152" s="3" t="inlineStr">
        <is>
          <t>TU195K</t>
        </is>
      </c>
      <c r="B2152" s="2" t="inlineStr">
        <is>
          <t>True Utility Minimulti, TU195K, 10 in 1, rozsdamentes harapófogó, drótvágó, olló</t>
        </is>
      </c>
      <c r="C2152" s="1" t="n">
        <v>7590.0</v>
      </c>
      <c r="D2152" s="7" t="n">
        <f>HYPERLINK("https://www.somogyi.hu/product/true-utility-minimulti-tu195k-10-in-1-rozsdamentes-harapofogo-drotvago-ollo-tu195k-17449","https://www.somogyi.hu/product/true-utility-minimulti-tu195k-10-in-1-rozsdamentes-harapofogo-drotvago-ollo-tu195k-17449")</f>
        <v>0.0</v>
      </c>
      <c r="E2152" s="7" t="n">
        <f>HYPERLINK("https://www.somogyi.hu/data/img/product_main_images/small/17449.jpg","https://www.somogyi.hu/data/img/product_main_images/small/17449.jpg")</f>
        <v>0.0</v>
      </c>
      <c r="F2152" s="2" t="inlineStr">
        <is>
          <t>5060063226163</t>
        </is>
      </c>
      <c r="G2152" s="4" t="inlineStr">
        <is>
          <t>Egy megbízható szerszámot keres, amely mindig kéznél van, akár a mindennapi feladatok elvégzéséhez, akár váratlan helyzetekben? A True Utility Minimulti TU195K multifunkciós szerszám a tökéletes választás Önnek!
Ez a kisméretű, mégis rendkívül sokoldalú eszköz ötvözi a praktikumot és a funkcionalitást, így biztosítva, hogy mindig rendelkezésre álljon a szükséges szerszám. A True Utility Minimulti TU195K minden nélkülözhetetlen szerszámmal fel van szerelve, így kiválóan alkalmazható bármilyen helyzetben. Az eszköz 10 különböző funkciót lát el: csillagfejű és két méretű laposfejű csavarhúzó, olló, sörnyitó, fűrész, rugós rozsdamentes harapófogó, drótvágó, reszelő és kés. Ezek az eszközök garantálják, hogy bármilyen feladattal könnyedén megbirkózzon.
A True Utility Minimulti TU195K különösen kis méretével (összecsukva csupán 7,6x3,8x1,6 cm) tűnik ki, ami lehetővé teszi, hogy zsebben vagy kulcstartón is magával vihesse. A rozsdamentes acélból készült szerszámok ellenállnak az időjárás viszontagságainak, míg az ergonomikus kialakítás biztosítja a kényelmes és biztonságos használatot.
Legyen szó otthoni munkáról, kempingezésről vagy akár egy váratlan helyzetről a munkahelyen, a True Utility Minimulti TU195K mindig a segítségére lesz.</t>
        </is>
      </c>
    </row>
    <row r="2153">
      <c r="A2153" s="3" t="inlineStr">
        <is>
          <t>TU289K</t>
        </is>
      </c>
      <c r="B2153" s="2" t="inlineStr">
        <is>
          <t>True Utility Laserlite, TU289K, zseblámpa és lézer, 10 lm LED, Class II lézer, alumínium</t>
        </is>
      </c>
      <c r="C2153" s="1" t="n">
        <v>3790.0</v>
      </c>
      <c r="D2153" s="7" t="n">
        <f>HYPERLINK("https://www.somogyi.hu/product/true-utility-laserlite-tu289k-zseblampa-es-lezer-10-lm-led-class-ii-lezer-aluminium-tu289k-17450","https://www.somogyi.hu/product/true-utility-laserlite-tu289k-zseblampa-es-lezer-10-lm-led-class-ii-lezer-aluminium-tu289k-17450")</f>
        <v>0.0</v>
      </c>
      <c r="E2153" s="7" t="n">
        <f>HYPERLINK("https://www.somogyi.hu/data/img/product_main_images/small/17450.jpg","https://www.somogyi.hu/data/img/product_main_images/small/17450.jpg")</f>
        <v>0.0</v>
      </c>
      <c r="F2153" s="2" t="inlineStr">
        <is>
          <t>5060063227276</t>
        </is>
      </c>
      <c r="G2153" s="4" t="inlineStr">
        <is>
          <t>Egy kicsi, de sokoldalú eszközt keres, amely mind lámpaként, mind lézer mutatóként használható? A True Utility Laserlite TU289K tökéletes választás azok számára, akik kompakt és praktikus megoldást keresnek világításra és mutatásra.
A True Utility Laserlite TU289K egy rendkívül kompakt eszköz, mely magában foglal egy 10 lumenes LED zseblámpát és egy Class II lézermutatót, így kiválóan alkalmas prezentációkhoz, esti sétákhoz vagy akár a tárgyak könnyebb megközelítéséhez sötétben. Az alumíniumból készült ház nemcsak elegáns megjelenést biztosít, de az eszköz tartósságát is garantálja.
Működését 3 darab 1,5 V-os (LR44) gombelem biztosítja, amelyeket a csomag tartalmaz, így az eszköz azonnal használatba vehető. Méretei – 7,5 x 1,6 x 1,6 cm – lehetővé teszik, hogy könnyedén magával vihesse bárhová, akár zsebben, akár táskában.
Legyen szó éjszakai olvasásról, térkép tanulmányozásáról vagy csak egy gyors fényforrásról a kulcslyuk megtalálásához, a True Utility Laserlite TU289K tökéletes társ a mindennapokban.</t>
        </is>
      </c>
    </row>
    <row r="2154">
      <c r="A2154" s="3" t="inlineStr">
        <is>
          <t>TU262K</t>
        </is>
      </c>
      <c r="B2154" s="2" t="inlineStr">
        <is>
          <t>True Utility Firestash, TU262K, vízálló öngyújtó, krómozott cink, hagyományos öngyújtóbenzin</t>
        </is>
      </c>
      <c r="C2154" s="1" t="n">
        <v>3790.0</v>
      </c>
      <c r="D2154" s="7" t="n">
        <f>HYPERLINK("https://www.somogyi.hu/product/true-utility-firestash-tu262k-vizallo-ongyujto-kromozott-cink-hagyomanyos-ongyujtobenzin-tu262k-17455","https://www.somogyi.hu/product/true-utility-firestash-tu262k-vizallo-ongyujto-kromozott-cink-hagyomanyos-ongyujtobenzin-tu262k-17455")</f>
        <v>0.0</v>
      </c>
      <c r="E2154" s="7" t="n">
        <f>HYPERLINK("https://www.somogyi.hu/data/img/product_main_images/small/17455.jpg","https://www.somogyi.hu/data/img/product_main_images/small/17455.jpg")</f>
        <v>0.0</v>
      </c>
      <c r="F2154" s="2" t="inlineStr">
        <is>
          <t>5060063226293</t>
        </is>
      </c>
      <c r="G2154" s="4" t="inlineStr">
        <is>
          <t>Van már Önnek olyan öngyújtója, amely kicsi, vízálló és bárhová magával viheti? A True Utility Firestash TU262K egy olyan aprócska öngyújtó, ami mindig kéznél van, amikor szüksége van rá!
A True Utility Firestash öngyújtó egy ultrakompakt, kulcstartóra erősíthető eszköz, ami ideális kalandos kirándulásokhoz, kempingezéshez vagy akár a mindennapi használathoz is. Kialakításának köszönhetően kifejezetten strapabíró, hiszen krómozott cinkből készült, így ellenáll az időjárási viszontagságoknak és a mindennapi kopásnak.
Az öngyújtó mérete mindössze 4,5 x 1,5 x 1,5 cm, így zsebben, táskában vagy akár a kulcscsomón is elfér anélkül, hogy észrevehető lenne. Vízálló kialakítása biztosítja, hogy nedves környezetben is megbízhatóan működik. Hagyományos öngyújtóbenzinnel tölthető, így könnyen újratölthető, amikor csak szükség van rá.
Ne hagyja otthon a True Utility Firestash TU262K öngyújtóját, legyen szó egy gyors tábori tűzgyújtásról, vagy csak egy meleg ital elkészítéséről a szabadban.</t>
        </is>
      </c>
    </row>
    <row r="2155">
      <c r="A2155" s="3" t="inlineStr">
        <is>
          <t>TU407K</t>
        </is>
      </c>
      <c r="B2155" s="2" t="inlineStr">
        <is>
          <t>True Utility Turbojet* Firewire, TU407K, vihargyújtó, hagyományos öngyújtógáz, könnyűfém váz</t>
        </is>
      </c>
      <c r="C2155" s="1" t="n">
        <v>7590.0</v>
      </c>
      <c r="D2155" s="7" t="n">
        <f>HYPERLINK("https://www.somogyi.hu/product/true-utility-turbojet-firewire-tu407k-vihargyujto-hagyomanyos-ongyujtogaz-konnyufem-vaz-tu407k-17456","https://www.somogyi.hu/product/true-utility-turbojet-firewire-tu407k-vihargyujto-hagyomanyos-ongyujtogaz-konnyufem-vaz-tu407k-17456")</f>
        <v>0.0</v>
      </c>
      <c r="E2155" s="7" t="n">
        <f>HYPERLINK("https://www.somogyi.hu/data/img/product_main_images/small/17456.jpg","https://www.somogyi.hu/data/img/product_main_images/small/17456.jpg")</f>
        <v>0.0</v>
      </c>
      <c r="F2155" s="2" t="inlineStr">
        <is>
          <t>5060063226514</t>
        </is>
      </c>
      <c r="G2155" s="4" t="inlineStr">
        <is>
          <t>Egy megbízható öngyújtót keres, amely viharos időjárásban is tökéletesen működik? A True Utility Turbojet Firewire TU407K erős és kompakt vihargyújtója minden körülmények között a tökéletes választás.
A True Utility Turbojet Firewire TU407K egy kiemelkedően erőteljes vihargyújtó, amely robusztus kivitelezésének köszönhetően a legzordabb időjárási körülmények között is megbízhatóan használható. A hagyományos öngyújtógázzal tölthető eszköz egykezes működési mechanizmusával egyszerűen és gyorsan gyújthatja meg a lángot, míg a láng erősségének állító funkcióval könnyedén szabályozhatja a láng méretét az igényeinek megfelelően.
Az öngyújtó könnyűfém alapanyagból készült, így nemcsak erős és tartós, hanem könnyen hordozható is. Méretei – 7x2,5x3,5 cm – ideálisak, hogy bármilyen zsebben kényelmesen magával vihesse. A Turbojet Firewire tökéletes társ lesz kempingezéshez, túrázáshoz vagy akár mindennapi használathoz.
Ne hagyja, hogy a rossz idő meghiúsítsa terveit! Válassza a True Utility Turbojet Firewire TU407K vihargyújtót, amely garantáltan nem hagyja cserben.</t>
        </is>
      </c>
    </row>
    <row r="2156">
      <c r="A2156" s="3" t="inlineStr">
        <is>
          <t>TU7060N</t>
        </is>
      </c>
      <c r="B2156" s="2" t="inlineStr">
        <is>
          <t>True Utility Modern Keychain Knife, TU7060N, 4 cm rozsdamentes acél penge, multifunkcionális, eloxált alumínium markolat</t>
        </is>
      </c>
      <c r="C2156" s="1" t="n">
        <v>5390.0</v>
      </c>
      <c r="D2156" s="7" t="n">
        <f>HYPERLINK("https://www.somogyi.hu/product/true-utility-modern-keychain-knife-tu7060n-4-cm-rozsdamentes-acel-penge-multifunkcionalis-eloxalt-aluminium-markolat-tu7060n-17457","https://www.somogyi.hu/product/true-utility-modern-keychain-knife-tu7060n-4-cm-rozsdamentes-acel-penge-multifunkcionalis-eloxalt-aluminium-markolat-tu7060n-17457")</f>
        <v>0.0</v>
      </c>
      <c r="E2156" s="7" t="n">
        <f>HYPERLINK("https://www.somogyi.hu/data/img/product_main_images/small/17457.jpg","https://www.somogyi.hu/data/img/product_main_images/small/17457.jpg")</f>
        <v>0.0</v>
      </c>
      <c r="F2156" s="2" t="inlineStr">
        <is>
          <t>5060063227825</t>
        </is>
      </c>
      <c r="G2156" s="4" t="inlineStr">
        <is>
          <t>A TU7060N eloxált rozsdamentes acélból készült kompakt, modern stílusos kés, amely karabinerrel rendelkezik.
A karabiner funkcionál, mint sörnyitó, feszítőél s nagy laposfejű csavarhúzóként is.
Kényelmesen elfér a kulcstartón, hasznos társként szolgál a hétköznapi feladatok megoldásában.
Ez a zsebkés sokoldalú, bármilyen feladat esetén segítségünkre lehet. Könnyen hordható öltönyzsebben, órazsebben, formája illeszkedik bármilyen helyzethez.
Vásároljon minőségi és megbízható termékeket webáruházunkból!</t>
        </is>
      </c>
    </row>
    <row r="2157">
      <c r="A2157" s="3" t="inlineStr">
        <is>
          <t>TU6871</t>
        </is>
      </c>
      <c r="B2157" s="2" t="inlineStr">
        <is>
          <t>True Utility Trueblade, TU6871, 7 cm pengehossz, eloxált rozsdamentes acélpenge, eloxált alumínium tok, egykezes</t>
        </is>
      </c>
      <c r="C2157" s="1" t="n">
        <v>7590.0</v>
      </c>
      <c r="D2157" s="7" t="n">
        <f>HYPERLINK("https://www.somogyi.hu/product/true-utility-trueblade-tu6871-7-cm-pengehossz-eloxalt-rozsdamentes-acelpenge-eloxalt-aluminium-tok-egykezes-tu6871-17460","https://www.somogyi.hu/product/true-utility-trueblade-tu6871-7-cm-pengehossz-eloxalt-rozsdamentes-acelpenge-eloxalt-aluminium-tok-egykezes-tu6871-17460")</f>
        <v>0.0</v>
      </c>
      <c r="E2157" s="7" t="n">
        <f>HYPERLINK("https://www.somogyi.hu/data/img/product_main_images/small/17460.jpg","https://www.somogyi.hu/data/img/product_main_images/small/17460.jpg")</f>
        <v>0.0</v>
      </c>
      <c r="F2157" s="2" t="inlineStr">
        <is>
          <t>5060063227252</t>
        </is>
      </c>
      <c r="G2157" s="4" t="inlineStr">
        <is>
          <t>A Trueblade olyan zsebkés, amelyet könnyű kültéri munkákhoz ajánljunk. Pengéje fekete eloxált rozsdamentes acélból készült, amely egy szakaszon fogazott.
A kés keretes felépítésű, egy kézzel könnyedén nyitható-csukható, így bármilyen feladat esetén segítségül szolgál.
Könnyű, robosztus kés és övcsipesszel felakasztható.
Markolata exolált alumínium.
Legyen Öné a robosztus kés és hasznos társa lesz a megoldandó szerelési problémáira!
Vásároljon minőségi és megbízható termékeket webáruházunkból!</t>
        </is>
      </c>
    </row>
    <row r="2158">
      <c r="A2158" s="3" t="inlineStr">
        <is>
          <t>TU6869</t>
        </is>
      </c>
      <c r="B2158" s="2" t="inlineStr">
        <is>
          <t>True Utility Smartknife+, TU6869, 15 in 1, mágneses bitfej tartó, kábelcsupaszoló, homokfúvott rozsdamentes acél, 5,5 cm penge</t>
        </is>
      </c>
      <c r="C2158" s="1" t="n">
        <v>5890.0</v>
      </c>
      <c r="D2158" s="7" t="n">
        <f>HYPERLINK("https://www.somogyi.hu/product/true-utility-smartknife-tu6869-15-in-1-magneses-bitfej-tarto-kabelcsupaszolo-homokfuvott-rozsdamentes-acel-5-5-cm-penge-tu6869-17461","https://www.somogyi.hu/product/true-utility-smartknife-tu6869-15-in-1-magneses-bitfej-tarto-kabelcsupaszolo-homokfuvott-rozsdamentes-acel-5-5-cm-penge-tu6869-17461")</f>
        <v>0.0</v>
      </c>
      <c r="E2158" s="7" t="n">
        <f>HYPERLINK("https://www.somogyi.hu/data/img/product_main_images/small/17461.jpg","https://www.somogyi.hu/data/img/product_main_images/small/17461.jpg")</f>
        <v>0.0</v>
      </c>
      <c r="F2158" s="2" t="inlineStr">
        <is>
          <t>5060063227269</t>
        </is>
      </c>
      <c r="G2158" s="4" t="inlineStr">
        <is>
          <t>A Smartknife+ pengéje részben fogazott rozsdamentes acélból készült, csupán 6 cm es multifunkciós eszköz, amely 15 féle nélkülözhetetlen szárszámmal van felszerelve.
Funkciói:
kicsi/közepes/nagy laposfejű csavarhúzó, vonalzó angolszász és metrikus beosztással, kábelcsupaszoló három méretben, 6mm/ 8mm/ 10mm/ 12mm/ 14mm csavarkulcs, sörnyitó, mágnesezett 1/4" bitfej tokmány, övcsat, feszítő, reszelő, mágneses csillagfejű bitfej
Alapanyaga 420-as minőségű rozsdamentes acél penge, csúcsminőségű alumínium markolattal.
Legyen Öné ez a komplex kés és hasznos társa lesz a megoldandó szerelési problémáira!</t>
        </is>
      </c>
    </row>
    <row r="2159">
      <c r="A2159" s="3" t="inlineStr">
        <is>
          <t>TU182</t>
        </is>
      </c>
      <c r="B2159" s="2" t="inlineStr">
        <is>
          <t>True Utility Fireranger, TU182, 7 cm penge, tűzkő, vészsíp, rozsdamentes acél szerszámok</t>
        </is>
      </c>
      <c r="C2159" s="1" t="n">
        <v>10990.0</v>
      </c>
      <c r="D2159" s="7" t="n">
        <f>HYPERLINK("https://www.somogyi.hu/product/true-utility-fireranger-tu182-7-cm-penge-tuzko-veszsip-rozsdamentes-acel-szerszamok-tu182-17842","https://www.somogyi.hu/product/true-utility-fireranger-tu182-7-cm-penge-tuzko-veszsip-rozsdamentes-acel-szerszamok-tu182-17842")</f>
        <v>0.0</v>
      </c>
      <c r="E2159" s="7" t="n">
        <f>HYPERLINK("https://www.somogyi.hu/data/img/product_main_images/small/17842.jpg","https://www.somogyi.hu/data/img/product_main_images/small/17842.jpg")</f>
        <v>0.0</v>
      </c>
      <c r="F2159" s="2" t="inlineStr">
        <is>
          <t>5060063227795</t>
        </is>
      </c>
      <c r="G2159" s="4" t="inlineStr">
        <is>
          <t xml:space="preserve"> • jellemzők: egykezes, reteszelhető, 7 cm pengehosszúságú kés, tűzkő, vészsíp, rugós, rozsdamentes fogó, drótvágó, csillagfejű csavarhúzó, reszelő és fűrész • hordtáska 
 • méretek: (összecsukva) 10,8 x 4 x 2,6 cm 
 • alapanyag: fém</t>
        </is>
      </c>
    </row>
    <row r="2160">
      <c r="A2160" s="6" t="inlineStr">
        <is>
          <t xml:space="preserve">   Mérés, szerszám, forrasztás / Bőrlyukasztó</t>
        </is>
      </c>
      <c r="B2160" s="6" t="inlineStr">
        <is>
          <t/>
        </is>
      </c>
      <c r="C2160" s="6" t="inlineStr">
        <is>
          <t/>
        </is>
      </c>
      <c r="D2160" s="6" t="inlineStr">
        <is>
          <t/>
        </is>
      </c>
      <c r="E2160" s="6" t="inlineStr">
        <is>
          <t/>
        </is>
      </c>
      <c r="F2160" s="6" t="inlineStr">
        <is>
          <t/>
        </is>
      </c>
      <c r="G2160" s="6" t="inlineStr">
        <is>
          <t/>
        </is>
      </c>
    </row>
    <row r="2161">
      <c r="A2161" s="3" t="inlineStr">
        <is>
          <t>BLF 6</t>
        </is>
      </c>
      <c r="B2161" s="2" t="inlineStr">
        <is>
          <t>Home BLF 6 bőrlyukasztó fogó, 6 kiütő méret, záró retesz, 220 mm, felületedzett acél</t>
        </is>
      </c>
      <c r="C2161" s="1" t="n">
        <v>2390.0</v>
      </c>
      <c r="D2161" s="7" t="n">
        <f>HYPERLINK("https://www.somogyi.hu/product/home-blf-6-borlyukaszto-fogo-6-kiuto-meret-zaro-retesz-220-mm-feluletedzett-acel-blf-6-16604","https://www.somogyi.hu/product/home-blf-6-borlyukaszto-fogo-6-kiuto-meret-zaro-retesz-220-mm-feluletedzett-acel-blf-6-16604")</f>
        <v>0.0</v>
      </c>
      <c r="E2161" s="7" t="n">
        <f>HYPERLINK("https://www.somogyi.hu/data/img/product_main_images/small/16604.jpg","https://www.somogyi.hu/data/img/product_main_images/small/16604.jpg")</f>
        <v>0.0</v>
      </c>
      <c r="F2161" s="2" t="inlineStr">
        <is>
          <t>5999084946364</t>
        </is>
      </c>
      <c r="G2161" s="4" t="inlineStr">
        <is>
          <t>Keresi az ideális eszközt, amellyel precízen lyukaszthat bőrt, textilt, vékony kartont, és puha műanyagot? A Home BLF 6 bőrlyukasztó fogó tökéletes választás minden kézműves és barkácsoló számára, akik minőségi és megbízható eszközt keresnek kreatív projektjeikhez. 
A 220 mm hosszúságú fogó strapabíró acélból készült, mely garantálja a tartósságot és a hosszú élettartamot. A gumibevonatú markolat nem csak kényelmes fogást biztosít, de csökkenti a használat során keletkező rezgést is, lehetővé téve, hogy hosszabb ideig dolgozzon fáradtság nélkül. A felületedzett acél lyukasztócsövekkel rendelkező Home BLF 6 bőrlyukasztó fogó hat különböző méretben (∅2, 2.5, 3, 3.5, 4, és 4.5 mm) kínál lyukasztási lehetőséget, így biztosítva a sokoldalúságot és a projektjeihez való alkalmazkodást.
A nyitó rugó és a záró retesszel tervezett fogó nem csak megkönnyíti a munkát, de biztosítja a fogó könnyű tárolását is, amikor éppen nem használja. Ez teszi a Home BLF 6-ot egy rendkívül praktikus eszközzé, amely minden kézműves eszköztárában nélkülözhetetlen.
Ne engedje, hogy a rossz minőségű eszközök akadályozzák kreatív projektjeit! A Home BLF 6 bőrlyukasztó fogóval minden lyukasztási feladat egyszerű és precíz.</t>
        </is>
      </c>
    </row>
    <row r="2162">
      <c r="A2162" s="6" t="inlineStr">
        <is>
          <t xml:space="preserve">   Mérés, szerszám, forrasztás / Tűzőgép, tűzőkapocs</t>
        </is>
      </c>
      <c r="B2162" s="6" t="inlineStr">
        <is>
          <t/>
        </is>
      </c>
      <c r="C2162" s="6" t="inlineStr">
        <is>
          <t/>
        </is>
      </c>
      <c r="D2162" s="6" t="inlineStr">
        <is>
          <t/>
        </is>
      </c>
      <c r="E2162" s="6" t="inlineStr">
        <is>
          <t/>
        </is>
      </c>
      <c r="F2162" s="6" t="inlineStr">
        <is>
          <t/>
        </is>
      </c>
      <c r="G2162" s="6" t="inlineStr">
        <is>
          <t/>
        </is>
      </c>
    </row>
    <row r="2163">
      <c r="A2163" s="3" t="inlineStr">
        <is>
          <t>KTG 01</t>
        </is>
      </c>
      <c r="B2163" s="2" t="inlineStr">
        <is>
          <t>Home KTG 01 kézi tűzőgép, 3 féle tűzőkapocs kompatibilis, többféle anyagon alkalmazható</t>
        </is>
      </c>
      <c r="C2163" s="1" t="n">
        <v>3090.0</v>
      </c>
      <c r="D2163" s="7" t="n">
        <f>HYPERLINK("https://www.somogyi.hu/product/home-ktg-01-kezi-tuzogep-3-fele-tuzokapocs-kompatibilis-tobbfele-anyagon-alkalmazhato-ktg-01-17469","https://www.somogyi.hu/product/home-ktg-01-kezi-tuzogep-3-fele-tuzokapocs-kompatibilis-tobbfele-anyagon-alkalmazhato-ktg-01-17469")</f>
        <v>0.0</v>
      </c>
      <c r="E2163" s="7" t="n">
        <f>HYPERLINK("https://www.somogyi.hu/data/img/product_main_images/small/17469.jpg","https://www.somogyi.hu/data/img/product_main_images/small/17469.jpg")</f>
        <v>0.0</v>
      </c>
      <c r="F2163" s="2" t="inlineStr">
        <is>
          <t>5999084954918</t>
        </is>
      </c>
      <c r="G2163" s="4" t="inlineStr">
        <is>
          <t>Szüksége van egy megbízható eszközre, amely képes könnyedén tűzni kartont, bőrt, és szöveteket különböző felületekre, mint a keményfa, puhafa, forgácslap vagy rétegelt lemez? A Home KTG 01 kézi tűzőgép pontosan az, amire szüksége van. 
Ez a sokoldalú 3 az 1-ben tűzőgép többféle tűzőkapocstípust kezel: U tűzőkapcsot 4 – 11 mm, szűk U tűzőkapcsot 10-12 mm, és T tűzőszeget 8 – 14 mm méretben, így széles körben alkalmazható különböző barkács- és otthoni javítási munkák során.
Az acélból készült Home KTG 01 kézi tűzőgép tartósságot és megbízhatóságot kínál, biztosítva, hogy minden tűzési feladatot gyorsan és hatékonyan végezhessen el. A tűzőgéphez 300 db 8mm U tűzőkapocs is tartozik, így azonnal kezdheti a munkát. Méretei (159x24x109mm) kompaktsága és könnyű kezelhetősége révén ez az eszköz kiválóan illik a kézbe, lehetővé téve a precíz munkavégzést.
Ajánljuk a KTG 01/T tűzőkapocsszettet is, amely külön megvásárolható, és tovább bővíti a tűzőgép alkalmazási lehetőségeit, így még több projektben használhatja.
Ne hagyja, hogy a nehezen kezelhető tűzőgépek akadályozzák projektjei megvalósítását! Válassza a Home KTG 01 kézi tűzőgépet a sokoldalúság, megbízhatóság és könnyű kezelhetőség érdekében.</t>
        </is>
      </c>
    </row>
    <row r="2164">
      <c r="A2164" s="3" t="inlineStr">
        <is>
          <t>KTG 01/T</t>
        </is>
      </c>
      <c r="B2164" s="2" t="inlineStr">
        <is>
          <t>Home KTG 01/T tűzőkapocsszett, 8 mm tűzőkapocs, 10 mm T tűzőszeg, 12 mm U tűzőkapocs</t>
        </is>
      </c>
      <c r="C2164" s="1" t="n">
        <v>829.0</v>
      </c>
      <c r="D2164" s="7" t="n">
        <f>HYPERLINK("https://www.somogyi.hu/product/home-ktg-01-t-tuzokapocsszett-8-mm-tuzokapocs-10-mm-t-tuzoszeg-12-mm-u-tuzokapocs-ktg-01-t-17468","https://www.somogyi.hu/product/home-ktg-01-t-tuzokapocsszett-8-mm-tuzokapocs-10-mm-t-tuzoszeg-12-mm-u-tuzokapocs-ktg-01-t-17468")</f>
        <v>0.0</v>
      </c>
      <c r="E2164" s="7" t="n">
        <f>HYPERLINK("https://www.somogyi.hu/data/img/product_main_images/small/17468.jpg","https://www.somogyi.hu/data/img/product_main_images/small/17468.jpg")</f>
        <v>0.0</v>
      </c>
      <c r="F2164" s="2" t="inlineStr">
        <is>
          <t>5999084954901</t>
        </is>
      </c>
      <c r="G2164" s="4" t="inlineStr">
        <is>
          <t>Azt a kiegészítőt keresi, amely pontosan a Home tűzőgépéhez illeszkedik? A Home KTG 01/T tűzőkapocsszett a tökéletes választás az Ön számára. 
Ez a készlet 600 db tűzőkapcsot és tűzőszöget tartalmaz, így biztosítva, hogy mindig rendelkezésére álljon a megfelelő méret és típus a különböző anyagokhoz és alkalmazásokhoz. A készletben megtalálható 200 db 8 mm-es tűzőkapocs, 200 db 10 mm-es T tűzőszög, és 200 db 12 mm-es U tűzőkapocs, így sokoldalúan felhasználható a Home KTG 01 és vele kompatibilis kézi tűzőgépekkel.
Legyen szó bőr, karton, szövet vagy egyéb rétegelt lemez szerű anyagok tűzéséről, ez a tűzőkapocsszett biztosítja, hogy a munkáját precízen és hatékonyan tudja elvégezni. A különböző méretek lehetővé teszik, hogy minden projektjéhez a leginkább megfelelő kapcsot vagy szöget válassza, növelve ezzel a munka minőségét és tartósságát. A Home KTG 01/T tűzőkapocsszett nem csak praktikus, de gazdaságos megoldás is, hiszen egy csomagban kínálja a leggyakrabban használt tűzőkapcsokat és tűzőszögeket. Ez a készlet ideális kiegészítője minden kézműves és barkácsoló szerszámkészletének, akik szeretnék maximalizálni tűzőgépük használatát különféle projektekben.
Ne hagyja, hogy a hiányzó tűzőkapcsok akadályozzák projektjeit! A Home KTG 01/T tűzőkapocsszettel mindig kéznél lesznek a szükséges eszközök a munka elvégzéséhez.</t>
        </is>
      </c>
    </row>
    <row r="2165">
      <c r="A2165" s="6" t="inlineStr">
        <is>
          <t xml:space="preserve">   Mérés, szerszám, forrasztás / STANLEY kiskocsik, molnárkocsik</t>
        </is>
      </c>
      <c r="B2165" s="6" t="inlineStr">
        <is>
          <t/>
        </is>
      </c>
      <c r="C2165" s="6" t="inlineStr">
        <is>
          <t/>
        </is>
      </c>
      <c r="D2165" s="6" t="inlineStr">
        <is>
          <t/>
        </is>
      </c>
      <c r="E2165" s="6" t="inlineStr">
        <is>
          <t/>
        </is>
      </c>
      <c r="F2165" s="6" t="inlineStr">
        <is>
          <t/>
        </is>
      </c>
      <c r="G2165" s="6" t="inlineStr">
        <is>
          <t/>
        </is>
      </c>
    </row>
    <row r="2166">
      <c r="A2166" s="3" t="inlineStr">
        <is>
          <t>SXWTD-FT584</t>
        </is>
      </c>
      <c r="B2166" s="2" t="inlineStr">
        <is>
          <t>STANLEY SXWTD-FT584 összecsukható molnárkocsi, lépcsőjáró, 60 kg teherbírás, tömege 4 kg, 6 db kerék lépcsőjáráshoz</t>
        </is>
      </c>
      <c r="C2166" s="1" t="n">
        <v>22990.0</v>
      </c>
      <c r="D2166" s="7" t="n">
        <f>HYPERLINK("https://www.somogyi.hu/product/stanley-sxwtd-ft584-osszecsukhato-molnarkocsi-lepcsojaro-60-kg-teherbiras-tomege-4-kg-6-db-kerek-lepcsojarashoz-sxwtd-ft584-17052","https://www.somogyi.hu/product/stanley-sxwtd-ft584-osszecsukhato-molnarkocsi-lepcsojaro-60-kg-teherbiras-tomege-4-kg-6-db-kerek-lepcsojarashoz-sxwtd-ft584-17052")</f>
        <v>0.0</v>
      </c>
      <c r="E2166" s="7" t="n">
        <f>HYPERLINK("https://www.somogyi.hu/data/img/product_main_images/small/17052.jpg","https://www.somogyi.hu/data/img/product_main_images/small/17052.jpg")</f>
        <v>0.0</v>
      </c>
      <c r="F2166" s="2" t="inlineStr">
        <is>
          <t>8717496635846</t>
        </is>
      </c>
      <c r="G2166" s="4" t="inlineStr">
        <is>
          <t>A STANLEY Lépcsőjáró molnárkocsi összecsukható kivitelben készült, így kis helyen, bútor mögött vagy akár ágy alatt tárolható. Könnyítse meg a cipekedést ezzel a robosztus kialakítású molnárkocsival. 2 x 3 db kerékkel ellátott, hogy minél könnyebben tegye meg az akadályt a lépcsőkön, küszöbökön. A rakományt egy erős gumizsinórral tudja rögzíteni. Teherbírása 60 kg. 
A nagy igénybevételű alkatrészek nylonból, a többi műanyag alkatrész polipropilénből készült. 
A molnárkocsi váza acélból, a rakodófelület alumíniumból, valamint a műanyag kerekek gumi felülettel ellátottak.  
A STANLEY prémium minőségű termékei kiváló anyagfelhasználással készültek, strapabíró és széles körű funkciókkal, a biztonságos használatot előtérbe helyezve.</t>
        </is>
      </c>
    </row>
    <row r="2167">
      <c r="A2167" s="3" t="inlineStr">
        <is>
          <t>SXWTD-FT585</t>
        </is>
      </c>
      <c r="B2167" s="2" t="inlineStr">
        <is>
          <t>STANLEY SXWTD-FT585 összecsukható molnárkocsi, 2 in 1 kiskocsi, max. 137 kg teherbírás, tömege 7,3 kg, molnárkocsinak átalakítható</t>
        </is>
      </c>
      <c r="C2167" s="1" t="n">
        <v>51190.0</v>
      </c>
      <c r="D2167" s="7" t="n">
        <f>HYPERLINK("https://www.somogyi.hu/product/stanley-sxwtd-ft585-osszecsukhato-molnarkocsi-2-in-1-kiskocsi-max-137-kg-teherbiras-tomege-7-3-kg-molnarkocsinak-atalakithato-sxwtd-ft585-17053","https://www.somogyi.hu/product/stanley-sxwtd-ft585-osszecsukhato-molnarkocsi-2-in-1-kiskocsi-max-137-kg-teherbiras-tomege-7-3-kg-molnarkocsinak-atalakithato-sxwtd-ft585-17053")</f>
        <v>0.0</v>
      </c>
      <c r="E2167" s="7" t="n">
        <f>HYPERLINK("https://www.somogyi.hu/data/img/product_main_images/small/17053.jpg","https://www.somogyi.hu/data/img/product_main_images/small/17053.jpg")</f>
        <v>0.0</v>
      </c>
      <c r="F2167" s="2" t="inlineStr">
        <is>
          <t>8717496635853</t>
        </is>
      </c>
      <c r="G2167" s="4" t="inlineStr">
        <is>
          <t>A STANLEY Molnárkocsi/ kiskocsi összecsukható kivitelben készült, így kis helyen, bútor mögött vagy akár ágy alatt tárolható. Két módon használható, rendkívül egyszerűen, pillanatok alatt 4 kerekű kiskocsivá vagy 2 kerekű molnárkocsivá nyithatja ki. Teherbírása 137/ 70 kg. 
Könnyítse meg a cipekedést ezzel a robosztus kialakítású kiskocsival. 
A nagy igénybevételű alkatrészek nylonból, a többi műanyag alkatrész polipropilénből készült. 
A molnárkocsi/ kiskocsi váza acélból, a rakodófelület alumíniumból, valamint a golyóscsapágyas műanyag kerekek gumi felülettel készültek. 
A STANLEY prémium minőségű termékei kiváló anyagfelhasználással készültek, strapabíró és széles körű funkciókkal, a biztonságos használatot előtérbe helyezve.</t>
        </is>
      </c>
    </row>
    <row r="2168">
      <c r="A2168" s="3" t="inlineStr">
        <is>
          <t>SXWTD-PC527</t>
        </is>
      </c>
      <c r="B2168" s="2" t="inlineStr">
        <is>
          <t>STANLEY SXWTD-PC527 összecsukható kiskocsi, 150 kg teherbírás, golyóscsapágyas kerekek, gyors összecsukás, tömege 7,8 kg, acél váz</t>
        </is>
      </c>
      <c r="C2168" s="1" t="n">
        <v>31990.0</v>
      </c>
      <c r="D2168" s="7" t="n">
        <f>HYPERLINK("https://www.somogyi.hu/product/stanley-sxwtd-pc527-osszecsukhato-kiskocsi-150-kg-teherbiras-golyoscsapagyas-kerekek-gyors-osszecsukas-tomege-7-8-kg-acel-vaz-sxwtd-pc527-17826","https://www.somogyi.hu/product/stanley-sxwtd-pc527-osszecsukhato-kiskocsi-150-kg-teherbiras-golyoscsapagyas-kerekek-gyors-osszecsukas-tomege-7-8-kg-acel-vaz-sxwtd-pc527-17826")</f>
        <v>0.0</v>
      </c>
      <c r="E2168" s="7" t="n">
        <f>HYPERLINK("https://www.somogyi.hu/data/img/product_main_images/small/17826.jpg","https://www.somogyi.hu/data/img/product_main_images/small/17826.jpg")</f>
        <v>0.0</v>
      </c>
      <c r="F2168" s="2" t="inlineStr">
        <is>
          <t>8717496635273</t>
        </is>
      </c>
      <c r="G2168" s="4" t="inlineStr">
        <is>
          <t xml:space="preserve"> • teherbírás: 150 kg 
 • funkciók: pillanatok alatt kinyitható vagy lapra hajtható 
 • méret: összecsukva: 73,5 x 47 x 23 cm • kinyitva: 73,5 x 47 x 83 cm • plató mérete: 73,5 x 47 cm 
 • összecsukható: igen 
 • anyaga: váz, fogantyú: acél 
 • súly: 7,8 kg 
 • egyéb: golyóscsapágyas kerekek</t>
        </is>
      </c>
    </row>
    <row r="2169">
      <c r="A2169" s="3" t="inlineStr">
        <is>
          <t>SXWTD-FT505</t>
        </is>
      </c>
      <c r="B2169" s="2" t="inlineStr">
        <is>
          <t>STANLEY SXWTD-FT505 összecsukható rekesz, 25 kg teherbírás, 50 liter űrtartalom, tömege 2 kg</t>
        </is>
      </c>
      <c r="C2169" s="1" t="n">
        <v>15690.0</v>
      </c>
      <c r="D2169" s="7" t="n">
        <f>HYPERLINK("https://www.somogyi.hu/product/stanley-sxwtd-ft505-osszecsukhato-rekesz-25-kg-teherbiras-50-liter-urtartalom-tomege-2-kg-sxwtd-ft505-16623","https://www.somogyi.hu/product/stanley-sxwtd-ft505-osszecsukhato-rekesz-25-kg-teherbiras-50-liter-urtartalom-tomege-2-kg-sxwtd-ft505-16623")</f>
        <v>0.0</v>
      </c>
      <c r="E2169" s="7" t="n">
        <f>HYPERLINK("https://www.somogyi.hu/data/img/product_main_images/small/16623.jpg","https://www.somogyi.hu/data/img/product_main_images/small/16623.jpg")</f>
        <v>0.0</v>
      </c>
      <c r="F2169" s="2" t="inlineStr">
        <is>
          <t>8717496635051</t>
        </is>
      </c>
      <c r="G2169" s="4" t="inlineStr">
        <is>
          <t>A STANLEY Rekesz összecsukható kivitelben készült. Minden STANLEY kiskocsival, molnárkocsival kompatibilis, de akár máshoz is használható. Teherbírása 25 kg, űrtartalma 50 liter. A speciális csatlakozópontok által egymással rakásolhatóak kinyitva vagy összecsukva is. 
A STANLEY prémium minőségű termékei kiváló anyagfelhasználással készültek, strapabíró kivitelben.</t>
        </is>
      </c>
    </row>
    <row r="2170">
      <c r="A2170" s="3" t="inlineStr">
        <is>
          <t>SXWTD-FT580</t>
        </is>
      </c>
      <c r="B2170" s="2" t="inlineStr">
        <is>
          <t>STANLEY SXWTD-FT580 összecsukható molnárkocsi, 70 kg teherbírás, acél váz és rakodófelület, erős gumizsinór, tömege 3,9 kg</t>
        </is>
      </c>
      <c r="C2170" s="1" t="n">
        <v>20490.0</v>
      </c>
      <c r="D2170" s="7" t="n">
        <f>HYPERLINK("https://www.somogyi.hu/product/stanley-sxwtd-ft580-osszecsukhato-molnarkocsi-70-kg-teherbiras-acel-vaz-es-rakodofelulet-eros-gumizsinor-tomege-3-9-kg-sxwtd-ft580-17051","https://www.somogyi.hu/product/stanley-sxwtd-ft580-osszecsukhato-molnarkocsi-70-kg-teherbiras-acel-vaz-es-rakodofelulet-eros-gumizsinor-tomege-3-9-kg-sxwtd-ft580-17051")</f>
        <v>0.0</v>
      </c>
      <c r="E2170" s="7" t="n">
        <f>HYPERLINK("https://www.somogyi.hu/data/img/product_main_images/small/17051.jpg","https://www.somogyi.hu/data/img/product_main_images/small/17051.jpg")</f>
        <v>0.0</v>
      </c>
      <c r="F2170" s="2" t="inlineStr">
        <is>
          <t>8717496635808</t>
        </is>
      </c>
      <c r="G2170" s="4" t="inlineStr">
        <is>
          <t>A STANLEY molnárkocsi összecsukható kivitelben készült, így kis helyen, bútor mögött vagy akár ágy alatt tárolható. Könnyítse meg a cipekedést ezzel a robosztus kialakítású molnárkocsival. A rakományt egy erős gumizsinórral tudja rögzíteni. Teherbírása 70 kg. 
A nagy igénybevételű alkatrészek nylonból, a többi műanyag alkatrész polipropilénből készült. 
A molnárkocsi váza, rakodófelület acélból, valamint a műanyag kerekek gumi felülettel ellátottak.  
A STANLEY prémium minőségű termékei kiváló anyagfelhasználással készültek, strapabíró és széles körű funkciókkal, a biztonságos használatot előtérbe helyezve.</t>
        </is>
      </c>
    </row>
    <row r="2171">
      <c r="A2171" s="6" t="inlineStr">
        <is>
          <t xml:space="preserve">   Mérés, szerszám, forrasztás / SENKO</t>
        </is>
      </c>
      <c r="B2171" s="6" t="inlineStr">
        <is>
          <t/>
        </is>
      </c>
      <c r="C2171" s="6" t="inlineStr">
        <is>
          <t/>
        </is>
      </c>
      <c r="D2171" s="6" t="inlineStr">
        <is>
          <t/>
        </is>
      </c>
      <c r="E2171" s="6" t="inlineStr">
        <is>
          <t/>
        </is>
      </c>
      <c r="F2171" s="6" t="inlineStr">
        <is>
          <t/>
        </is>
      </c>
      <c r="G2171" s="6" t="inlineStr">
        <is>
          <t/>
        </is>
      </c>
    </row>
    <row r="2172">
      <c r="A2172" s="3" t="inlineStr">
        <is>
          <t>SEN-SP-SGT-H2</t>
        </is>
      </c>
      <c r="B2172" s="2" t="inlineStr">
        <is>
          <t>SENKO egygázos hordozható gázérzékelő (H2) gondozásmentes kivitel</t>
        </is>
      </c>
      <c r="C2172" s="1" t="n">
        <v>129990.0</v>
      </c>
      <c r="D2172" s="7" t="n">
        <f>HYPERLINK("https://www.somogyi.hu/product/senko-egygazos-hordozhato-gazerzekelo-h2-gondozasmentes-kivitel-sen-sp-sgt-h2-17935","https://www.somogyi.hu/product/senko-egygazos-hordozhato-gazerzekelo-h2-gondozasmentes-kivitel-sen-sp-sgt-h2-17935")</f>
        <v>0.0</v>
      </c>
      <c r="E2172" s="7" t="n">
        <f>HYPERLINK("https://www.somogyi.hu/data/img/product_main_images/small/17935.jpg","https://www.somogyi.hu/data/img/product_main_images/small/17935.jpg")</f>
        <v>0.0</v>
      </c>
      <c r="F2172" s="2" t="inlineStr">
        <is>
          <t>2221595700016</t>
        </is>
      </c>
      <c r="G2172" s="4" t="inlineStr">
        <is>
          <t xml:space="preserve"> • érzékelt gáz: H2 
 • érzékelő típusa: elektrokémiai 
 • érzékelés módja: diffúziós 
 • mérési tartomány: 0 - 1000 ppm 
 • élettartam: szenzor élettartam: &gt; 2 év 
 • felbontás: 5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3">
      <c r="A2173" s="3" t="inlineStr">
        <is>
          <t>SEN-SP-SGT-H2S</t>
        </is>
      </c>
      <c r="B2173" s="2" t="inlineStr">
        <is>
          <t>SENKO egygázos hordozható gázérzékelő (H2S) gondozásmentes kivitel</t>
        </is>
      </c>
      <c r="C2173" s="1" t="n">
        <v>49990.0</v>
      </c>
      <c r="D2173" s="7" t="n">
        <f>HYPERLINK("https://www.somogyi.hu/product/senko-egygazos-hordozhato-gazerzekelo-h2s-gondozasmentes-kivitel-sen-sp-sgt-h2s-17936","https://www.somogyi.hu/product/senko-egygazos-hordozhato-gazerzekelo-h2s-gondozasmentes-kivitel-sen-sp-sgt-h2s-17936")</f>
        <v>0.0</v>
      </c>
      <c r="E2173" s="7" t="n">
        <f>HYPERLINK("https://www.somogyi.hu/data/img/product_main_images/small/17936.jpg","https://www.somogyi.hu/data/img/product_main_images/small/17936.jpg")</f>
        <v>0.0</v>
      </c>
      <c r="F2173" s="2" t="inlineStr">
        <is>
          <t>2221595800013</t>
        </is>
      </c>
      <c r="G2173" s="4" t="inlineStr">
        <is>
          <t xml:space="preserve"> • érzékelt gáz: H2S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4">
      <c r="A2174" s="3" t="inlineStr">
        <is>
          <t>SEN-SP-SGT-NH3</t>
        </is>
      </c>
      <c r="B2174" s="2" t="inlineStr">
        <is>
          <t>SENKO egygázos hordozható gázérzékelő (NH3) gondozásmentes kivitel</t>
        </is>
      </c>
      <c r="C2174" s="1" t="n">
        <v>139990.0</v>
      </c>
      <c r="D2174" s="7" t="n">
        <f>HYPERLINK("https://www.somogyi.hu/product/senko-egygazos-hordozhato-gazerzekelo-nh3-gondozasmentes-kivitel-sen-sp-sgt-nh3-17937","https://www.somogyi.hu/product/senko-egygazos-hordozhato-gazerzekelo-nh3-gondozasmentes-kivitel-sen-sp-sgt-nh3-17937")</f>
        <v>0.0</v>
      </c>
      <c r="E2174" s="7" t="n">
        <f>HYPERLINK("https://www.somogyi.hu/data/img/product_main_images/small/17937.jpg","https://www.somogyi.hu/data/img/product_main_images/small/17937.jpg")</f>
        <v>0.0</v>
      </c>
      <c r="F2174" s="2" t="inlineStr">
        <is>
          <t>2221595900010</t>
        </is>
      </c>
      <c r="G2174" s="4" t="inlineStr">
        <is>
          <t xml:space="preserve"> • érzékelt gáz: NH3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5">
      <c r="A2175" s="3" t="inlineStr">
        <is>
          <t>SEN-SP-SGT-CO</t>
        </is>
      </c>
      <c r="B2175" s="2" t="inlineStr">
        <is>
          <t>SENKO egygázos hordozható gázérzékelő (CO) gondozásmentes kivitel</t>
        </is>
      </c>
      <c r="C2175" s="1" t="n">
        <v>49990.0</v>
      </c>
      <c r="D2175" s="7" t="n">
        <f>HYPERLINK("https://www.somogyi.hu/product/senko-egygazos-hordozhato-gazerzekelo-co-gondozasmentes-kivitel-sen-sp-sgt-co-17934","https://www.somogyi.hu/product/senko-egygazos-hordozhato-gazerzekelo-co-gondozasmentes-kivitel-sen-sp-sgt-co-17934")</f>
        <v>0.0</v>
      </c>
      <c r="E2175" s="7" t="n">
        <f>HYPERLINK("https://www.somogyi.hu/data/img/product_main_images/small/17934.jpg","https://www.somogyi.hu/data/img/product_main_images/small/17934.jpg")</f>
        <v>0.0</v>
      </c>
      <c r="F2175" s="2" t="inlineStr">
        <is>
          <t>2221595600019</t>
        </is>
      </c>
      <c r="G2175" s="4" t="inlineStr">
        <is>
          <t xml:space="preserve"> • érzékelt gáz: CO 
 • érzékelő típusa: elektrokémiai 
 • érzékelés módja: diffúziós 
 • mérési tartomány: 0 - 500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6">
      <c r="A2176" s="3" t="inlineStr">
        <is>
          <t>SEN-SP-SGT-O2</t>
        </is>
      </c>
      <c r="B2176" s="2" t="inlineStr">
        <is>
          <t>SENKO egygázos hordozható gázérzékelő (O2) gondozásmentes kivitel</t>
        </is>
      </c>
      <c r="C2176" s="1" t="n">
        <v>51990.0</v>
      </c>
      <c r="D2176" s="7" t="n">
        <f>HYPERLINK("https://www.somogyi.hu/product/senko-egygazos-hordozhato-gazerzekelo-o2-gondozasmentes-kivitel-sen-sp-sgt-o2-17939","https://www.somogyi.hu/product/senko-egygazos-hordozhato-gazerzekelo-o2-gondozasmentes-kivitel-sen-sp-sgt-o2-17939")</f>
        <v>0.0</v>
      </c>
      <c r="E2176" s="7" t="n">
        <f>HYPERLINK("https://www.somogyi.hu/data/img/product_main_images/small/17939.jpg","https://www.somogyi.hu/data/img/product_main_images/small/17939.jpg")</f>
        <v>0.0</v>
      </c>
      <c r="F2176" s="2" t="inlineStr">
        <is>
          <t>2221596100013</t>
        </is>
      </c>
      <c r="G2176" s="4" t="inlineStr">
        <is>
          <t xml:space="preserve"> • érzékelt gáz: O2 
 • érzékelő típusa: elektrokémiai 
 • érzékelés módja: diffúziós 
 • mérési tartomány: 0 - 30 tf% 
 • élettartam: 2 év 
 • felbontás: 0,1 tf% 
 • kijelző: LCD, háttérvilágítással 
 • riasztási szint: állítható 
 • memória: 30 legutóbbi esemény eltárolása 
 • működési tartomány: -35 - 50 °C, 5 - 95% RH (nem kondenzálódó) 
 • beépített akkumulátor: beépített Li-ion akkumulátor 
 • méret: 54 x 91 x 32 mm</t>
        </is>
      </c>
    </row>
    <row r="2177">
      <c r="A2177" s="3" t="inlineStr">
        <is>
          <t>SEN-SP-SGT-NO2</t>
        </is>
      </c>
      <c r="B2177" s="2" t="inlineStr">
        <is>
          <t>SENKO egygázos hordozható gázérzékelő (NO2) gondozásmentes kivitel</t>
        </is>
      </c>
      <c r="C2177" s="1" t="n">
        <v>154990.0</v>
      </c>
      <c r="D2177" s="7" t="n">
        <f>HYPERLINK("https://www.somogyi.hu/product/senko-egygazos-hordozhato-gazerzekelo-no2-gondozasmentes-kivitel-sen-sp-sgt-no2-17938","https://www.somogyi.hu/product/senko-egygazos-hordozhato-gazerzekelo-no2-gondozasmentes-kivitel-sen-sp-sgt-no2-17938")</f>
        <v>0.0</v>
      </c>
      <c r="E2177" s="7" t="n">
        <f>HYPERLINK("https://www.somogyi.hu/data/img/product_main_images/small/17938.jpg","https://www.somogyi.hu/data/img/product_main_images/small/17938.jpg")</f>
        <v>0.0</v>
      </c>
      <c r="F2177" s="2" t="inlineStr">
        <is>
          <t>2221596000016</t>
        </is>
      </c>
      <c r="G2177" s="4" t="inlineStr">
        <is>
          <t xml:space="preserve"> • érzékelt gáz: NO2 
 • érzékelő típusa: elektrokémiai 
 • érzékelés módja: diffúziós 
 • mérési tartomány: 0 - 20 ppm 
 • élettartam: szenzor élettartam: &gt; 2 év 
 • felbontás: 0,1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8">
      <c r="A2178" s="3" t="inlineStr">
        <is>
          <t>SEN-SP-MGT-N</t>
        </is>
      </c>
      <c r="B2178" s="2" t="inlineStr">
        <is>
          <t>SENKO négygázos hordozható gázérzékelő (O2,CO,H2S, LEL), Infra szenzor</t>
        </is>
      </c>
      <c r="C2178" s="1" t="n">
        <v>299990.0</v>
      </c>
      <c r="D2178" s="7" t="n">
        <f>HYPERLINK("https://www.somogyi.hu/product/senko-negygazos-hordozhato-gazerzekelo-o2-co-h2s-lel-infra-szenzor-sen-sp-mgt-n-17941","https://www.somogyi.hu/product/senko-negygazos-hordozhato-gazerzekelo-o2-co-h2s-lel-infra-szenzor-sen-sp-mgt-n-17941")</f>
        <v>0.0</v>
      </c>
      <c r="E2178" s="7" t="n">
        <f>HYPERLINK("https://www.somogyi.hu/data/img/product_main_images/small/17941.jpg","https://www.somogyi.hu/data/img/product_main_images/small/17941.jpg")</f>
        <v>0.0</v>
      </c>
      <c r="F2178" s="2" t="inlineStr">
        <is>
          <t>2221596300017</t>
        </is>
      </c>
      <c r="G2178" s="4" t="inlineStr">
        <is>
          <t xml:space="preserve"> • érzékelt gáz: éghető (LEL), O2, CO, H2S 
 • érzékelő típusa: infra,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79">
      <c r="A2179" s="3" t="inlineStr">
        <is>
          <t>SEN-SP-MGT-P</t>
        </is>
      </c>
      <c r="B2179" s="2" t="inlineStr">
        <is>
          <t>SENKO négygázos hordozható gázérzékelő (O2,CO,H2S, LEL), Katalitikus szenzor</t>
        </is>
      </c>
      <c r="C2179" s="1" t="n">
        <v>194990.0</v>
      </c>
      <c r="D2179" s="7" t="n">
        <f>HYPERLINK("https://www.somogyi.hu/product/senko-negygazos-hordozhato-gazerzekelo-o2-co-h2s-lel-katalitikus-szenzor-sen-sp-mgt-p-17940","https://www.somogyi.hu/product/senko-negygazos-hordozhato-gazerzekelo-o2-co-h2s-lel-katalitikus-szenzor-sen-sp-mgt-p-17940")</f>
        <v>0.0</v>
      </c>
      <c r="E2179" s="7" t="n">
        <f>HYPERLINK("https://www.somogyi.hu/data/img/product_main_images/small/17940.jpg","https://www.somogyi.hu/data/img/product_main_images/small/17940.jpg")</f>
        <v>0.0</v>
      </c>
      <c r="F2179" s="2" t="inlineStr">
        <is>
          <t>2221596200010</t>
        </is>
      </c>
      <c r="G2179" s="4" t="inlineStr">
        <is>
          <t xml:space="preserve"> • érzékelt gáz: éghető (LEL), O2, CO, H2S 
 • érzékelő típusa: katalitikus,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80">
      <c r="A2180" s="6" t="inlineStr">
        <is>
          <t xml:space="preserve">   Mérés, szerszám, forrasztás / Leatherman</t>
        </is>
      </c>
      <c r="B2180" s="6" t="inlineStr">
        <is>
          <t/>
        </is>
      </c>
      <c r="C2180" s="6" t="inlineStr">
        <is>
          <t/>
        </is>
      </c>
      <c r="D2180" s="6" t="inlineStr">
        <is>
          <t/>
        </is>
      </c>
      <c r="E2180" s="6" t="inlineStr">
        <is>
          <t/>
        </is>
      </c>
      <c r="F2180" s="6" t="inlineStr">
        <is>
          <t/>
        </is>
      </c>
      <c r="G2180" s="6" t="inlineStr">
        <is>
          <t/>
        </is>
      </c>
    </row>
    <row r="2181">
      <c r="A2181" s="3" t="inlineStr">
        <is>
          <t>LTG832167</t>
        </is>
      </c>
      <c r="B2181" s="2" t="inlineStr">
        <is>
          <t>Leatherman Raptor® Rescue olló</t>
        </is>
      </c>
      <c r="C2181" s="1" t="n">
        <v>46990.0</v>
      </c>
      <c r="D2181" s="7" t="n">
        <f>HYPERLINK("https://www.somogyi.hu/product/leatherman-raptor-rescue-ollo-ltg832167-18418","https://www.somogyi.hu/product/leatherman-raptor-rescue-ollo-ltg832167-18418")</f>
        <v>0.0</v>
      </c>
      <c r="E2181" s="7" t="n">
        <f>HYPERLINK("https://www.somogyi.hu/data/img/product_main_images/small/18418.jpg","https://www.somogyi.hu/data/img/product_main_images/small/18418.jpg")</f>
        <v>0.0</v>
      </c>
      <c r="F2181" s="2" t="inlineStr">
        <is>
          <t>0037447611414</t>
        </is>
      </c>
      <c r="G2181" s="4" t="inlineStr">
        <is>
          <t>Fedezze fel a Leatherman Raptor® Rescue ollót – A minden zsebben otthonra találó eszközt!
Az életmentő LTG832167 Leatherman Raptor® Rescue olló nem csupán egy eszköz; ez a tárgy gyakran válik a hősi cselekedetek szimbólumává, amikor minden másodperc számít. Kifejezetten az egészségügyben dolgozó katonák, azaz a felcserek igényeire szabva tervezték, de az idő során kiderült, hogy civil orvosok, ápolók, mentősök és más egészségügyi szakemberek számára is pótolhatatlan segítséget jelent ez az olló. A tervezés során kiemelt figyelmet fordítottak az olló kényelmes hordozhatóságára. Az övre akasztható műanyag formatok lehetővé teszi, hogy az eszköz mindig kéznél legyen, anélkül, hogy zavarna a mindennapi tevékenységek során. Az övklipsz biztosítja, hogy az eszköz stabilan rögzíthető legyen az övhöz vagy akár egy táskaszíjhoz is, így garantálva, hogy az olló gyorsan elővehető legyen sürgős helyzetekben. Az olló designja és fekete színe mellett a funkcionalitás sem marad el. Az éles pengéi és erős fogása lehetővé teszi, hogy gyorsan és hatékonyan végezzen el vágási feladatokat, legyen szó akár ruházat eltávolításáról sérülés esetén, vagy sürgősségi orvosi beavatkozásokról. 
Az ollóban megtalálható olló, övelvágó horog, oxigénpalack kulcs, üvegtörő kúp, gyűrűvágó, 5 cm mérő skála. Ezen funkciók összessége mindössze egy 12,7 cm (csukott) méretű és 164 gramm súlyú eszközben rejtőzik.
Ne hagyja ki a lehetőséget, hogy egy Leatherman multiszerszám legyen a mindennapokban hű segítőtársa!</t>
        </is>
      </c>
    </row>
    <row r="2182">
      <c r="A2182" s="3" t="inlineStr">
        <is>
          <t>LTG832130</t>
        </is>
      </c>
      <c r="B2182" s="2" t="inlineStr">
        <is>
          <t>Leatherman REV multiszerszám</t>
        </is>
      </c>
      <c r="C2182" s="1" t="n">
        <v>25990.0</v>
      </c>
      <c r="D2182" s="7" t="n">
        <f>HYPERLINK("https://www.somogyi.hu/product/leatherman-rev-multiszerszam-ltg832130-18411","https://www.somogyi.hu/product/leatherman-rev-multiszerszam-ltg832130-18411")</f>
        <v>0.0</v>
      </c>
      <c r="E2182" s="7" t="n">
        <f>HYPERLINK("https://www.somogyi.hu/data/img/product_main_images/small/18411.jpg","https://www.somogyi.hu/data/img/product_main_images/small/18411.jpg")</f>
        <v>0.0</v>
      </c>
      <c r="F2182" s="2" t="inlineStr">
        <is>
          <t>0037447683374</t>
        </is>
      </c>
      <c r="G2182" s="4" t="inlineStr">
        <is>
          <t>Fedezze fel a Leatherman Rev multiszerszámot – A minden zsebben otthonra találó eszközt!
Az LTG832130 Leatherman Rev az egyik legkedvezőbb árú multiszerszám kínálatunkban, számos olyan hasznos funkcióval, amelyek megfelelnek a drágább társak színvonalának. Kompakt méretének és sokoldalúságának köszönhetően ideális választás mindennapi munkákhoz, hobby tevékenységekhez. A LTG832130 Leatherman Rev tökéletes választás azoknak, akik olcsóbb, de alapvető funkciókkal rendelkező multiszerszámot keresnek. 
A multiszerszámban megtalálható a 420HC egyenes élű kés, üvegnyitó, konzervnyitó, drótvágó, közepes csavarhúzó - félkerekcsőrű fogó, csomagbontó, csillagcsavarhúzó, harapófogó, 3.8cm/1.5inch mérőskála, kicsi csavarhúzó, kábelvágó, fa/fém reszelő. Ezen funkciók összessége mindössze egy 9,7x6,6 cm-es és 168 gramm súlyú szerszámban rejtőzik.
Ne hagyja ki a lehetőséget, hogy egy Leatherman multiszerszám legyen a mindennapokban hű segítőtársa!</t>
        </is>
      </c>
    </row>
    <row r="2183">
      <c r="A2183" s="3" t="inlineStr">
        <is>
          <t>LTG832523</t>
        </is>
      </c>
      <c r="B2183" s="2" t="inlineStr">
        <is>
          <t>Leatherman Wingman multiszerszám</t>
        </is>
      </c>
      <c r="C2183" s="1" t="n">
        <v>37290.0</v>
      </c>
      <c r="D2183" s="7" t="n">
        <f>HYPERLINK("https://www.somogyi.hu/product/leatherman-wingman-multiszerszam-ltg832523-18413","https://www.somogyi.hu/product/leatherman-wingman-multiszerszam-ltg832523-18413")</f>
        <v>0.0</v>
      </c>
      <c r="E2183" s="7" t="n">
        <f>HYPERLINK("https://www.somogyi.hu/data/img/product_main_images/small/18413.jpg","https://www.somogyi.hu/data/img/product_main_images/small/18413.jpg")</f>
        <v>0.0</v>
      </c>
      <c r="F2183" s="2" t="inlineStr">
        <is>
          <t>0037447000652</t>
        </is>
      </c>
      <c r="G2183" s="4" t="inlineStr">
        <is>
          <t>Fedezze fel a Leatherman Wingman multiszerszámot – A minden zsebben otthonra találó eszközt!
Az LTG832523 Leatherman Wingman multiszerszám azok számára készült, akik nem elégszenek meg a kevesebbel, de mégis értékelik az ár-érték arányt. A modell kiemelkedik a sorból rugós fogójával és egykezes nyitású késpengéjével, amelyek a használatot rendkívül kényelmessé és gyorssá teszik. Ez a szerszám tökéletes belépő szintű eszköz azok számára, akik még csak most ismerkednek a multifogók világával. A LTG832523 Leatherman Wingman nem csak praktikus, hanem tartós is. A minőségi anyaghasználat és a precíz kialakítás garantálja, hogy ez az eszköz hosszú távon is megbízható marad. 
A multiszerszámban megtalálható rugós harapófogó, drótvágó, kábelcsupaszoló, olló, levehető övcsat, reszelő, 420HC félszerát késpenge, csomagbontó penge,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84">
      <c r="A2184" s="3" t="inlineStr">
        <is>
          <t>LTG831439</t>
        </is>
      </c>
      <c r="B2184" s="2" t="inlineStr">
        <is>
          <t>Leatherman Sidekick multiszerszám</t>
        </is>
      </c>
      <c r="C2184" s="1" t="n">
        <v>36990.0</v>
      </c>
      <c r="D2184" s="7" t="n">
        <f>HYPERLINK("https://www.somogyi.hu/product/leatherman-sidekick-multiszerszam-ltg831439-18412","https://www.somogyi.hu/product/leatherman-sidekick-multiszerszam-ltg831439-18412")</f>
        <v>0.0</v>
      </c>
      <c r="E2184" s="7" t="n">
        <f>HYPERLINK("https://www.somogyi.hu/data/img/product_main_images/small/18412.jpg","https://www.somogyi.hu/data/img/product_main_images/small/18412.jpg")</f>
        <v>0.0</v>
      </c>
      <c r="F2184" s="2" t="inlineStr">
        <is>
          <t>0037447664052</t>
        </is>
      </c>
      <c r="G2184" s="4" t="inlineStr">
        <is>
          <t>Fedezze fel a Leatherman Sidekick multiszerszámot – A minden zsebben otthonra találó eszközt!
Az LTG831439 Leatherman Sidekick multiszerszám kialakításának köszönhetően kényelmes és praktikus használatot biztosít bárki számára, aki egy megbízható, mindentudó eszközt keres. A LTG831439 Leatherman Sidekick különleges jellemzője, hogy egykezes nyitású késpengével van ellátva, ami lehetővé teszi a felhasználó számára, hogy gyorsan és könnyedén hozzáférjen a pengéhez, anélkül, hogy szükség lenne a fogantyúk szétnyitására. Ez a funkció különösen hasznos vészhelyzetekben vagy akkor, amikor csak egy kéz áll rendelkezésre. A multiszerszám alaptartozékai között megtalálható egy praktikus tok is, ami biztosítja az eszköz biztonságos tárolását és könnyű hozzáférhetőségét. A toknak köszönhetően mindig kéznél lehet, akár egy hátizsák oldalzsebében, akár egy övön. 
A multiszerszámban megtalálható rugós harapófogó, drótvágó, kábelcsupaszoló, fűrész, levehető övcsat, reszelő, 420HC egyenes késpenge, félszerát késpenge, kulcskarika akasztó,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85">
      <c r="A2185" s="3" t="inlineStr">
        <is>
          <t>LTG832936</t>
        </is>
      </c>
      <c r="B2185" s="2" t="inlineStr">
        <is>
          <t>Leatherman Bond multiszerszám</t>
        </is>
      </c>
      <c r="C2185" s="1" t="n">
        <v>32990.0</v>
      </c>
      <c r="D2185" s="7" t="n">
        <f>HYPERLINK("https://www.somogyi.hu/product/leatherman-bond-multiszerszam-ltg832936-18414","https://www.somogyi.hu/product/leatherman-bond-multiszerszam-ltg832936-18414")</f>
        <v>0.0</v>
      </c>
      <c r="E2185" s="7" t="n">
        <f>HYPERLINK("https://www.somogyi.hu/data/img/product_main_images/small/18414.jpg","https://www.somogyi.hu/data/img/product_main_images/small/18414.jpg")</f>
        <v>0.0</v>
      </c>
      <c r="F2185" s="2" t="inlineStr">
        <is>
          <t>0037447010842</t>
        </is>
      </c>
      <c r="G2185" s="4" t="inlineStr">
        <is>
          <t>Fedezze fel a Leatherman Bond multiszerszámot – A minden zsebben otthonra találó eszközt!
Az LTG832936 Leatherman Bond™ egy olyan multiszerszám, amely tökéletesen ötvözi az újítást a hagyományokkal. Tim Leatherman első, már klasszikusnak számító multiszerszámainak formáját és funkcióit felidézve, a Bond™ egy modern eszköz, amely mégis hordozza magában a múlt értékeit. Ez a különleges kombináció teszi a Bond™-ot ideális választássá mindazok számára, akik egy megbízható, minden szükséges funkcióval ellátott, mégis stílusos multiszerszámot keresnek. A Bond™ 14 különböző szerszámfunkciót kínál, amelyek segítségével könnyedén megoldhatóak a napi kihívások és javítások. A lekerekített markolatszélek biztosítják a fogás kényelmét még hosszabb használat során is. Az LTG832936 Leatherman Bond™-hoz tartozó gyöngyvászon övtok vagy az opcionálisan megvásárolható övklipsz lehetővé teszi, hogy az eszközt kényelmesen magunknál tartsuk.
A multiszerszámban megtalálható harapófogó, rádiós fogó, kábelvágó, drótvágó, 420HC egyenes késpenge, fa/fém reszelő, ár/lyukasztó fix, Phillips (csillag) csavarhúzó, nagy és kicsi laposcsavarhúzó, üveg- és konzervnyitó, kábelcsupaszoló, 10 cm / 4 Inch skála. Ezen funkciók összessége mindössze egy 10 cm hosszú (csukott) szerszámban rejtőzik.
Ne hagyja ki a lehetőséget, hogy egy Leatherman multiszerszám legyen a mindennapokban hű segítőtársa!</t>
        </is>
      </c>
    </row>
    <row r="2186">
      <c r="A2186" s="3" t="inlineStr">
        <is>
          <t>LTG831557</t>
        </is>
      </c>
      <c r="B2186" s="2" t="inlineStr">
        <is>
          <t>Leatherman Rebar multiszerszám</t>
        </is>
      </c>
      <c r="C2186" s="1" t="n">
        <v>41890.0</v>
      </c>
      <c r="D2186" s="7" t="n">
        <f>HYPERLINK("https://www.somogyi.hu/product/leatherman-rebar-multiszerszam-ltg831557-18415","https://www.somogyi.hu/product/leatherman-rebar-multiszerszam-ltg831557-18415")</f>
        <v>0.0</v>
      </c>
      <c r="E2186" s="7" t="n">
        <f>HYPERLINK("https://www.somogyi.hu/data/img/product_main_images/small/18415.jpg","https://www.somogyi.hu/data/img/product_main_images/small/18415.jpg")</f>
        <v>0.0</v>
      </c>
      <c r="F2186" s="2" t="inlineStr">
        <is>
          <t>0037447619298</t>
        </is>
      </c>
      <c r="G2186" s="4" t="inlineStr">
        <is>
          <t>Fedezze fel a Leatherman Rebar multiszerszámot – A minden zsebben otthonra találó eszközt!
Az LTG831557 Leatherman Rebar a válasz azoknak a felhasználóknak, akik a Super Tool 300 (ST300) teljesítményét és sokoldalúságát egy kisebb, Wave/Blast méretű szerszámban szeretnék megtalálni. Azok számára terveztük, akik nap mint nap szembesülnek szerelési feladatokkal, és egy megbízható, minden szükséges funkcióval ellátott eszközt keresnek, amely könnyen hordozható és minden helyzetben a segítségükre lehet. Az egyik legfontosabb jellemzője a cserélhető drótvágó élek, amelyek nem csak a használat során nyújtanak nagyobb rugalmasságot és hosszabb élettartamot, hanem gazdaságosabbá is teszik a szerszámot, mivel a kopott éleket egyszerűen ki lehet cserélni újakra. A LTG831557 Leatherman Rebar újszerű markolat kialakítása is kiemelkedő, amely nem csak ergonomikus, hanem biztosítja a kényelmes fogást és használatot is, még hosszabb ideig tartó munkavégzés során. Az eszközhöz tartozó gyöngyvászon övtok lehetővé teszi, hogy az eszközt kényelmesen magunknál tartsuk.
A multiszerszámban megtalálható 420HC egyenes élű kés, 420HC szerát élű kés, rádiós fogó, harapófogó, cserélhető drót- és kábelvágó, kábelcsupaszóló, nagy csavarhúzó, közepes csavarhúzó, csillag csavarhúzó, lyukasztó/ár, fa/fém reszelő, fűrész, üveg- és konzervnyitó, 20 cm / 8 Inch mérőskála. Ezen funkciók összessége mindössze egy 10 cm hosszú és 190 gramm súlyú szerszámban rejtőzik.
Ne hagyja ki a lehetőséget, hogy egy Leatherman multiszerszám legyen a mindennapokban hű segítőtársa!</t>
        </is>
      </c>
    </row>
    <row r="2187">
      <c r="A2187" s="3" t="inlineStr">
        <is>
          <t>LTG832524</t>
        </is>
      </c>
      <c r="B2187" s="2" t="inlineStr">
        <is>
          <t>Leatherman Wave+ multiszerszám</t>
        </is>
      </c>
      <c r="C2187" s="1" t="n">
        <v>57290.0</v>
      </c>
      <c r="D2187" s="7" t="n">
        <f>HYPERLINK("https://www.somogyi.hu/product/leatherman-wave-multiszerszam-ltg832524-18416","https://www.somogyi.hu/product/leatherman-wave-multiszerszam-ltg832524-18416")</f>
        <v>0.0</v>
      </c>
      <c r="E2187" s="7" t="n">
        <f>HYPERLINK("https://www.somogyi.hu/data/img/product_main_images/small/18416.jpg","https://www.somogyi.hu/data/img/product_main_images/small/18416.jpg")</f>
        <v>0.0</v>
      </c>
      <c r="F2187" s="2" t="inlineStr">
        <is>
          <t>0037447000737</t>
        </is>
      </c>
      <c r="G2187" s="4" t="inlineStr">
        <is>
          <t>Fedezze fel a Leatherman Wave Plus multiszerszámot – A minden zsebben otthonra találó eszközt!
Az LTG832524 Leatherman Wave Plus nem véletlenül vált a márkának a legkedveltebb modelljévé. A Wave modell 1998-as bemutatkozása óta hódítja meg a felhasználók szívét, és nemcsak a sokoldalúsága, hanem a folyamatos innováció révén is a piac egyik vezető szerszáma maradt. Az 2004-es frissítés tovább finomította a Wave Plus-t, szélesebb és erősebb harapófogót, valamint két univerzális bitfoglalatot adva hozzá, amelyek lehetővé teszik a könnyű testreszabást és még többféle felhasználást. A 20. évfordulójára a Wave Plus a sokak által várt cserélhető drótvágópengéket is megkapta, amelyek korábban már bizonyítottak a Surge modellen. Ez a fejlesztés tovább növeli a szerszám élettartamát és praktikumát, lehetővé téve a felhasználók számára, hogy egyszerűen cseréljék ki a pengéket, ha azok elhasználódnak. A megújulás nem állt meg a szerszámnál: a hozzá tartozó tok is új dizájnt kapott. Az erős gyöngyvászonból készült, fémpatentes zárású tok biztosítja a Wave Plus mindennapi, feltűnésmentes hordását. A felhasználói élmény további finomítása érdekében az opcionálisan rendelhető kiegészítők, mint a gyors csatlakozós övcsat és az akasztókarika, még kényelmesebbé teszik a Wave Plus használatát.
A multiszerszámban megtalálható harapófogó, cserélhető drótvágó pengék, olló, kulcskarika akasztó, fűrész, fa/fém reszelő, egyenes élű kés, szerát élű kés, kis bitfoglalat, nagy bitfoglalat, nagy csavarhúzó, üveg- és konzervnyitó,19 cm / 8 Inch mérőskála. Ezen funkciók összessége mindössze egy 10 cm hosszú és 264 gramm súlyú szerszámban rejtőzik.
Ne hagyja ki a lehetőséget, hogy egy Leatherman multiszerszám legyen a mindennapokban hű segítőtársa!</t>
        </is>
      </c>
    </row>
    <row r="2188">
      <c r="A2188" s="3" t="inlineStr">
        <is>
          <t>LTG830165</t>
        </is>
      </c>
      <c r="B2188" s="2" t="inlineStr">
        <is>
          <t>Leatherman Surge multiszerszám</t>
        </is>
      </c>
      <c r="C2188" s="1" t="n">
        <v>74090.0</v>
      </c>
      <c r="D2188" s="7" t="n">
        <f>HYPERLINK("https://www.somogyi.hu/product/leatherman-surge-multiszerszam-ltg830165-18417","https://www.somogyi.hu/product/leatherman-surge-multiszerszam-ltg830165-18417")</f>
        <v>0.0</v>
      </c>
      <c r="E2188" s="7" t="n">
        <f>HYPERLINK("https://www.somogyi.hu/data/img/product_main_images/small/18417.jpg","https://www.somogyi.hu/data/img/product_main_images/small/18417.jpg")</f>
        <v>0.0</v>
      </c>
      <c r="F2188" s="2" t="inlineStr">
        <is>
          <t>0037447349010</t>
        </is>
      </c>
      <c r="G2188" s="4" t="inlineStr">
        <is>
          <t>Fedezze fel a Leatherman Surge multiszerszámot – A minden zsebben otthonra találó eszközt!
Az LTG830165 Leatherman Surge nem más, mint a márka legerősebb és legsokoldalúbb fogóval rendelkező multiszerszáma. Ez a modell magában foglalja a Super Tool szerszámok robusztusságát és a Wave innovatív funkcióit, így egy igazán különleges és hatékony eszközt kínál minden felhasználó számára. A Surge tervezésekor a Leatherman mérnökei arra törekedtek, hogy egy olyan eszközt hozzanak létre, amely minden helyzetben képes megállni a helyét. A Wave modelltől örökölt univerzális bit foglalat lehetővé teszi, hogy a Surge-t széles körű csavarhúzó feladatokra használjuk. A Surge különlegessége továbbá az extra nagy méretű, kívülre került olló, amely nem csak kényelmes használatot biztosít, hanem rendkívül praktikus is a nagyobb és bonyolultabb vágási feladatok során. Ezen felül a pengefoglalatnak köszönhetően a reszelő- és fűrészpenge is könnyen cserélhető. Surge-hoz egy masszív Leatherman övtok is jár alaptartozékként, amely nem csak a szerszám biztonságos tárolását teszi lehetővé, hanem a mindennapi hordását is kényelmesebbé teszi. 
A multiszerszámban megtalálható harapófogó, drótvágó, nagy olló, akasztófül, pengefoglalat, fűrészpenge, reszelőpenge, egyenes élű kés, fogazott élű kés, cserélhető drótvágó pofák, közepes csavarhúzó, nagy bitfoglalat, nagy csavarhúzó, lyukasztó, üveg- és konzervnyitó, 22 cm / 9 Inch mérőskála. Ezen funkciók összessége mindössze egy 11,5 cm hosszú és 355 gramm súlyú szerszámban rejtőzik.
Ne hagyja ki a lehetőséget, hogy egy Leatherman multiszerszám legyen a mindennapokban hű segítőtársa!</t>
        </is>
      </c>
    </row>
    <row r="2189">
      <c r="A2189" s="6" t="inlineStr">
        <is>
          <t xml:space="preserve">   Mobiltartozék, adapter / Mobilkészülék-tartó</t>
        </is>
      </c>
      <c r="B2189" s="6" t="inlineStr">
        <is>
          <t/>
        </is>
      </c>
      <c r="C2189" s="6" t="inlineStr">
        <is>
          <t/>
        </is>
      </c>
      <c r="D2189" s="6" t="inlineStr">
        <is>
          <t/>
        </is>
      </c>
      <c r="E2189" s="6" t="inlineStr">
        <is>
          <t/>
        </is>
      </c>
      <c r="F2189" s="6" t="inlineStr">
        <is>
          <t/>
        </is>
      </c>
      <c r="G2189" s="6" t="inlineStr">
        <is>
          <t/>
        </is>
      </c>
    </row>
    <row r="2190">
      <c r="A2190" s="3" t="inlineStr">
        <is>
          <t>SA063</t>
        </is>
      </c>
      <c r="B2190" s="2" t="inlineStr">
        <is>
          <t>SAL SA063 autós mobiltartó, kb. 55 - 95 mm, félautomata, szellőzőre, egykezes, szilikon felület, forgatható, billenthető</t>
        </is>
      </c>
      <c r="C2190" s="1" t="n">
        <v>4590.0</v>
      </c>
      <c r="D2190" s="7" t="n">
        <f>HYPERLINK("https://www.somogyi.hu/product/sal-sa063-autos-mobiltarto-kb-55-95-mm-felautomata-szellozore-egykezes-szilikon-felulet-forgathato-billentheto-sa063-18375","https://www.somogyi.hu/product/sal-sa063-autos-mobiltarto-kb-55-95-mm-felautomata-szellozore-egykezes-szilikon-felulet-forgathato-billentheto-sa063-18375")</f>
        <v>0.0</v>
      </c>
      <c r="E2190" s="7" t="n">
        <f>HYPERLINK("https://www.somogyi.hu/data/img/product_main_images/small/18375.jpg","https://www.somogyi.hu/data/img/product_main_images/small/18375.jpg")</f>
        <v>0.0</v>
      </c>
      <c r="F2190" s="2" t="inlineStr">
        <is>
          <t>5999084963934</t>
        </is>
      </c>
      <c r="G2190" s="4" t="inlineStr">
        <is>
          <t>Sokat autózik, és szeretné biztonságosan használni telefonját vezetés közben? A SAL SA063 autós mobiltartó ideális megoldást kínál a kényelmes és biztonságos mobilhasználathoz vezetés közben. A tartó könnyen rögzíthető a jármű szellőzőnyílására, így a telefon mindig kéznél van, akár navigációhoz, akár hívások kezeléséhez.
A mobiltartó forgatható, fel-le és oldalra is billenthető funkciója lehetővé teszi a tökéletes nézőszög beállítását, így a kijelző minden helyzetben jól látható. Az egykezes, gyors és egyszerű használatának köszönhetően a telefon könnyen be- és kihelyezhető a tartóba. A csupán gombnyomásra szétnyíló rögzítő fülek biztosítják, hogy a készülék végig stabilan és biztonságosan a helyén maradjon kioldásig, míg a kihúzható alsó talpak extra stabilitást nyújtanak. A szilikon felületek óvják a telefont a karcolódásoktól és egyéb sérülésektől.
Az erős, fém akasztóval a tartó könnyen illeszkedik a vízszintes vagy függőleges szellőző lamellákhoz (10-36mm), míg a kb. 55-95mm telefon szélességig (kb. 4-7” képátló) alkalmazkodó kialakítás szinte minden készülékhez ideális.
Válassza a SAL SA063 autós mobiltartót, és élvezze a kényelmes, biztonságos mobilhasználatot vezetés közben. Rendelje meg most, és tegye autózását még kényelmesebbé és biztonságosabbá!</t>
        </is>
      </c>
    </row>
    <row r="2191">
      <c r="A2191" s="3" t="inlineStr">
        <is>
          <t>SA065</t>
        </is>
      </c>
      <c r="B2191" s="2" t="inlineStr">
        <is>
          <t>SAL SA065 kerékpáros, rolleres mobiltartó, masszív tartóbilincs, biztonsági retesz, védett sarokelemek, gumi és szilikonbetétek, 18 - 45 mm kormányátmérőre</t>
        </is>
      </c>
      <c r="C2191" s="1" t="n">
        <v>6690.0</v>
      </c>
      <c r="D2191" s="7" t="n">
        <f>HYPERLINK("https://www.somogyi.hu/product/sal-sa065-kerekparos-rolleres-mobiltarto-massziv-tartobilincs-biztonsagi-retesz-vedett-sarokelemek-gumi-es-szilikonbetetek-18-45-mm-kormanyatmerore-sa065-18376","https://www.somogyi.hu/product/sal-sa065-kerekparos-rolleres-mobiltarto-massziv-tartobilincs-biztonsagi-retesz-vedett-sarokelemek-gumi-es-szilikonbetetek-18-45-mm-kormanyatmerore-sa065-18376")</f>
        <v>0.0</v>
      </c>
      <c r="E2191" s="7" t="n">
        <f>HYPERLINK("https://www.somogyi.hu/data/img/product_main_images/small/18376.jpg","https://www.somogyi.hu/data/img/product_main_images/small/18376.jpg")</f>
        <v>0.0</v>
      </c>
      <c r="F2191" s="2" t="inlineStr">
        <is>
          <t>5999084963941</t>
        </is>
      </c>
      <c r="G2191" s="4" t="inlineStr">
        <is>
          <t>Fedezd fel a várost új perspektívából a SAL SA065 mobiltartóval, amely tökéletes társ lesz kerékpáros, rolleres vagy motoros kalandjaid során! Ez a rendkívül sokoldalú mobiltartó többféle jármű, köztük roller, kerékpár, elektromos kerékpár, szobakerékpár, motor és még babakocsi kormányára is könnyedén szerelhető. Az erős tartóbilincs és a fém csavar garantálja, hogy a készüléked biztonságban marad még a legzordabb utakon is.
A tartó körbeforgatható és billenthető kialakítása lehetővé teszi, hogy kedvenc alkalmazásaidat, navigációt vagy zeneszámokat bármely szögből kényelmesen használhasd. A biztonsági retesz extra stabilitást biztosít, míg a gumi és szilikon betétek megóvják telefonodat a csúszástól és a karcolásoktól. A tartó adaptálható a legtöbb telefonhoz, ~130-180mm magasság és 55-85mm szélesség között, valamint a kormányátmérő esetében 18-45mm-ig.
Védd meg eszközöd biztonságát és élvezd a zökkenőmentes navigációt minden utad során, legyen szó városi cirkálásról vagy terepen való kalandról. A SAL SA065 mobiltartóval már semmi sem állhat a szabadtéri felfedezés útjába. Szállj fel járművedre, erősítsd oda eszközödet, és induljon a kaland – a tökéletes irányt már a kezedben tartod!</t>
        </is>
      </c>
    </row>
    <row r="2192">
      <c r="A2192" s="3" t="inlineStr">
        <is>
          <t>SA 024</t>
        </is>
      </c>
      <c r="B2192" s="2" t="inlineStr">
        <is>
          <t>SAL SA 024 tapadókorongos telefontartó, mobiltartó, 115 x 90 mm, 360° forgatható</t>
        </is>
      </c>
      <c r="C2192" s="1" t="n">
        <v>5390.0</v>
      </c>
      <c r="D2192" s="7" t="n">
        <f>HYPERLINK("https://www.somogyi.hu/product/sal-sa-024-tapadokorongos-telefontarto-mobiltarto-115-x-90-mm-360-forgathato-sa-024-8547","https://www.somogyi.hu/product/sal-sa-024-tapadokorongos-telefontarto-mobiltarto-115-x-90-mm-360-forgathato-sa-024-8547")</f>
        <v>0.0</v>
      </c>
      <c r="E2192" s="7" t="n">
        <f>HYPERLINK("https://www.somogyi.hu/data/img/product_main_images/small/08547.jpg","https://www.somogyi.hu/data/img/product_main_images/small/08547.jpg")</f>
        <v>0.0</v>
      </c>
      <c r="F2192" s="2" t="inlineStr">
        <is>
          <t>5998312774427</t>
        </is>
      </c>
      <c r="G2192" s="4" t="inlineStr">
        <is>
          <t>A tapadókorongos tartó professzionális rögzítést biztosít a hordozható készülékek számára. Könnyedén elhelyezhető szélvédőn, műszerfalon, vagy szellőzőnyíláson. A készülék további előnye, hogy sokoldalúan állítható. Válassza a minőségi termékeket és rendeljen webáruházunkból!</t>
        </is>
      </c>
    </row>
    <row r="2193">
      <c r="A2193" s="3" t="inlineStr">
        <is>
          <t>PCS109X_SG</t>
        </is>
      </c>
      <c r="B2193" s="2" t="inlineStr">
        <is>
          <t>3-in-1 vezeték nélküli töltőállomás</t>
        </is>
      </c>
      <c r="C2193" s="1" t="n">
        <v>19490.0</v>
      </c>
      <c r="D2193" s="7" t="n">
        <f>HYPERLINK("https://www.somogyi.hu/product/3-in-1-vezetek-nelkuli-toltoallomas-pcs109x-sg-18069","https://www.somogyi.hu/product/3-in-1-vezetek-nelkuli-toltoallomas-pcs109x-sg-18069")</f>
        <v>0.0</v>
      </c>
      <c r="E2193" s="7" t="n">
        <f>HYPERLINK("https://www.somogyi.hu/data/img/product_main_images/small/18069.jpg","https://www.somogyi.hu/data/img/product_main_images/small/18069.jpg")</f>
        <v>0.0</v>
      </c>
      <c r="F2193" s="2" t="inlineStr">
        <is>
          <t>8595248151598</t>
        </is>
      </c>
      <c r="G2193" s="4" t="inlineStr">
        <is>
          <t xml:space="preserve"> • szín: szürke (space grey) 
 • tartó mérete: 138 x 115 x 75 mm 
 • funkció: vezeték nélküli töltőmodul okostelefonhoz 7,5 / 10 W • vezeték nélküli töltőmodul okosórához 2,5 W • vezeték nélküli töltőmodul headsethez 5 W 
 • anyaga: alumínium   edzett üveg 
 • kompatibilitás: Samsung okostelefonhoz, Galaxy Watchhoz, Galaxy Budshoz és egyéb Android készülékekhez 
 • tartozék: USB-C kábel 
 • tápellátás: 5 / 9 V adapter 
 • egyéb információ: maximális kimeneti teljesítmény: 10 W</t>
        </is>
      </c>
    </row>
    <row r="2194">
      <c r="A2194" s="3" t="inlineStr">
        <is>
          <t>SA064</t>
        </is>
      </c>
      <c r="B2194" s="2" t="inlineStr">
        <is>
          <t>SAL SA064 autós mobiltartó, szellőzőnyílásra helyezhető, forgatható, billenthető, egykezes, 65-80 mm telefon, 11 mm vastagság</t>
        </is>
      </c>
      <c r="C2194" s="1" t="n">
        <v>1590.0</v>
      </c>
      <c r="D2194" s="7" t="n">
        <f>HYPERLINK("https://www.somogyi.hu/product/sal-sa064-autos-mobiltarto-szellozonyilasra-helyezheto-forgathato-billentheto-egykezes-65-80-mm-telefon-11-mm-vastagsag-sa064-18374","https://www.somogyi.hu/product/sal-sa064-autos-mobiltarto-szellozonyilasra-helyezheto-forgathato-billentheto-egykezes-65-80-mm-telefon-11-mm-vastagsag-sa064-18374")</f>
        <v>0.0</v>
      </c>
      <c r="E2194" s="7" t="n">
        <f>HYPERLINK("https://www.somogyi.hu/data/img/product_main_images/small/18374.jpg","https://www.somogyi.hu/data/img/product_main_images/small/18374.jpg")</f>
        <v>0.0</v>
      </c>
      <c r="F2194" s="2" t="inlineStr">
        <is>
          <t>5999084963927</t>
        </is>
      </c>
      <c r="G2194" s="4" t="inlineStr">
        <is>
          <t>Ön is azt szeretné, hogy autóvezetés közben telefonja mindig kéznél legyen, de biztonságosan elhelyezve? A SAL SA064 autós mobiltartóval ez könnyedén megvalósítható. Kompakt, mégis rendkívül rugalmas kialakításának köszönhetően, a jármű szellőzőnyílására szerelhető, így a készülék stabilan, mégis könnyen elérhető helyen marad.
A forgatható és minden irányba billenthető mechanizmus lehetővé teszi, hogy a legkényelmesebb nézőszöget állíthassa be, miközben a telefon automatikusan illeszkedik a tartóhoz, biztosítva ezzel a készülék szilárd rögzítését.
Az egyszerű, egykezes használatnak köszönhetően, a telefon könnyedén helyezhető bele és vehető ki a tartóból, így a figyelme a vezetésen maradhat. A tartó kompakt méretei, 115 x 40 mm, üres állapotban is kevés helyet foglalnak, és a különböző vastagságú lamellákhoz való rögzítési lehetősége növeli a használati flexibilitást. 
Legyen szó vékony vagy vastagabb telefonról, a SAL SA064 autós mobiltartó akár 65 - 80 mm szélességű és 11 mm vastagságú készülékekhez is tökéletes társ lehet. Felszerelése és használata függ a jármű és a telefon specifikus adottságaitól, így minden helyzetben optimális megoldást kínál. Válassza a SAL SA064 modellt, hogy vezetés közben is biztonságban és kényelmesen érje el mobilját!</t>
        </is>
      </c>
    </row>
    <row r="2195">
      <c r="A2195" s="3" t="inlineStr">
        <is>
          <t>SA 062</t>
        </is>
      </c>
      <c r="B2195" s="2" t="inlineStr">
        <is>
          <t>SAL SA 062 autós telefontartó, 2in1, mobiltartó, csomagakasztó, fejtámla rúd rögzítés, 10 - 16 mm, 4 - 10 kg terhelés</t>
        </is>
      </c>
      <c r="C2195" s="1" t="n">
        <v>1750.0</v>
      </c>
      <c r="D2195" s="7" t="n">
        <f>HYPERLINK("https://www.somogyi.hu/product/sal-sa-062-autos-telefontarto-2in1-mobiltarto-csomagakaszto-fejtamla-rud-rogzites-10-16-mm-4-10-kg-terheles-sa-062-18182","https://www.somogyi.hu/product/sal-sa-062-autos-telefontarto-2in1-mobiltarto-csomagakaszto-fejtamla-rud-rogzites-10-16-mm-4-10-kg-terheles-sa-062-18182")</f>
        <v>0.0</v>
      </c>
      <c r="E2195" s="7" t="n">
        <f>HYPERLINK("https://www.somogyi.hu/data/img/product_main_images/small/18182.jpg","https://www.somogyi.hu/data/img/product_main_images/small/18182.jpg")</f>
        <v>0.0</v>
      </c>
      <c r="F2195" s="2" t="inlineStr">
        <is>
          <t>5999084962043</t>
        </is>
      </c>
      <c r="G2195" s="4" t="inlineStr">
        <is>
          <t xml:space="preserve"> • szín: fekete 
 • befogható készülék mérete: a telefon max. szélessége: ~ 85 mm 
 • tartó rögzítése / elhelyezése: a fejtámla rúdjára rögzíthető, körbe forgatható 
 • funkció: 2in1: mobiltartó és csomag akasztó 
 • méret: 10-16 mm 
 • egyéb információ: az akasztó terhelhetősége: 4-10 kg (a csat pozíciójától függően)</t>
        </is>
      </c>
    </row>
    <row r="2196">
      <c r="A2196" s="6" t="inlineStr">
        <is>
          <t xml:space="preserve">   Mobiltartozék, adapter / USB-töltő</t>
        </is>
      </c>
      <c r="B2196" s="6" t="inlineStr">
        <is>
          <t/>
        </is>
      </c>
      <c r="C2196" s="6" t="inlineStr">
        <is>
          <t/>
        </is>
      </c>
      <c r="D2196" s="6" t="inlineStr">
        <is>
          <t/>
        </is>
      </c>
      <c r="E2196" s="6" t="inlineStr">
        <is>
          <t/>
        </is>
      </c>
      <c r="F2196" s="6" t="inlineStr">
        <is>
          <t/>
        </is>
      </c>
      <c r="G2196" s="6" t="inlineStr">
        <is>
          <t/>
        </is>
      </c>
    </row>
    <row r="2197">
      <c r="A2197" s="3" t="inlineStr">
        <is>
          <t>NV 2100 USB</t>
        </is>
      </c>
      <c r="B2197" s="2" t="inlineStr">
        <is>
          <t>Home NV 2100 USB hálózati aljzat USB töltőaljzatokkal, 2xUSB töltőaljzat 5V/max.2,1A, földelt hálózati aljzat gyermekvédő zsaluval</t>
        </is>
      </c>
      <c r="C2197" s="1" t="n">
        <v>3290.0</v>
      </c>
      <c r="D2197" s="7" t="n">
        <f>HYPERLINK("https://www.somogyi.hu/product/home-nv-2100-usb-halozati-aljzat-usb-toltoaljzatokkal-2xusb-toltoaljzat-5v-max-2-1a-foldelt-halozati-aljzat-gyermekvedo-zsaluval-nv-2100-usb-15704","https://www.somogyi.hu/product/home-nv-2100-usb-halozati-aljzat-usb-toltoaljzatokkal-2xusb-toltoaljzat-5v-max-2-1a-foldelt-halozati-aljzat-gyermekvedo-zsaluval-nv-2100-usb-15704")</f>
        <v>0.0</v>
      </c>
      <c r="E2197" s="7" t="n">
        <f>HYPERLINK("https://www.somogyi.hu/data/img/product_main_images/small/15704.jpg","https://www.somogyi.hu/data/img/product_main_images/small/15704.jpg")</f>
        <v>0.0</v>
      </c>
      <c r="F2197" s="2" t="inlineStr">
        <is>
          <t>5999084937386</t>
        </is>
      </c>
      <c r="G2197" s="4" t="inlineStr">
        <is>
          <t>Az NV 2100 USB hálózati aljzat összesen 2 x USB töltőaljzattal rendelkezik. A termék előnye, hogy a földelt hálózati aljzaton gyermekvédő zsalu található. Válassza a minőségi termékeket és rendeljen webáruházunkból!</t>
        </is>
      </c>
    </row>
    <row r="2198">
      <c r="A2198" s="3" t="inlineStr">
        <is>
          <t>SA 24USB</t>
        </is>
      </c>
      <c r="B2198" s="2" t="inlineStr">
        <is>
          <t>Home SA 24USB hálózati töltő, 2db megosztott USB kimenet, egyidejűleg 2 készülék tölthető</t>
        </is>
      </c>
      <c r="C2198" s="1" t="n">
        <v>2490.0</v>
      </c>
      <c r="D2198" s="7" t="n">
        <f>HYPERLINK("https://www.somogyi.hu/product/home-sa-24usb-halozati-tolto-2db-megosztott-usb-kimenet-egyidejuleg-2-keszulek-toltheto-sa-24usb-16880","https://www.somogyi.hu/product/home-sa-24usb-halozati-tolto-2db-megosztott-usb-kimenet-egyidejuleg-2-keszulek-toltheto-sa-24usb-16880")</f>
        <v>0.0</v>
      </c>
      <c r="E2198" s="7" t="n">
        <f>HYPERLINK("https://www.somogyi.hu/data/img/product_main_images/small/16880.jpg","https://www.somogyi.hu/data/img/product_main_images/small/16880.jpg")</f>
        <v>0.0</v>
      </c>
      <c r="F2198" s="2" t="inlineStr">
        <is>
          <t>5999084949129</t>
        </is>
      </c>
      <c r="G2198" s="4" t="inlineStr">
        <is>
          <t>Hányszor találkozott már azzal a problémával, hogy egyszerre több készüléket szeretne tölteni, de nincs elég töltője? A Home SA 24USB hálózati töltővel ez a gond a múlté!
Ez a kiváló minőségű töltő 100-240 V~ / 50-60 Hz-es bemenettel rendelkezik, így gyakorlatilag bármilyen hálózati feszültségen képes működni. Legfőbb előnye azonban a két darab 5V/2,4A, összesen 2,4A megosztott USB kimenet, mely lehetővé teszi, hogy egyszerre két készüléket tölthessen. Legyen szó okostelefonról, táblagépről vagy más USB-n keresztül tölthető eszközről, a Home SA 24USB mindig a segítségére lesz!
Ne várja meg, amíg lemerülnek eszközei! Válassza a Home SA 24USB hálózati töltőt, és élvezze a gyors és hatékony töltést egyszerre két eszköz számára!</t>
        </is>
      </c>
    </row>
    <row r="2199">
      <c r="A2199" s="3" t="inlineStr">
        <is>
          <t>SA 50USB</t>
        </is>
      </c>
      <c r="B2199" s="2" t="inlineStr">
        <is>
          <t>Home SA 50USB USB hálózati töltő, nagyáramú gyorstöltés, 4db 5V/3,1 A megosztott USB kimenet</t>
        </is>
      </c>
      <c r="C2199" s="1" t="n">
        <v>6290.0</v>
      </c>
      <c r="D2199" s="7" t="n">
        <f>HYPERLINK("https://www.somogyi.hu/product/home-sa-50usb-usb-halozati-tolto-nagyaramu-gyorstoltes-4db-5v-3-1-a-megosztott-usb-kimenet-sa-50usb-16881","https://www.somogyi.hu/product/home-sa-50usb-usb-halozati-tolto-nagyaramu-gyorstoltes-4db-5v-3-1-a-megosztott-usb-kimenet-sa-50usb-16881")</f>
        <v>0.0</v>
      </c>
      <c r="E2199" s="7" t="n">
        <f>HYPERLINK("https://www.somogyi.hu/data/img/product_main_images/small/16881.jpg","https://www.somogyi.hu/data/img/product_main_images/small/16881.jpg")</f>
        <v>0.0</v>
      </c>
      <c r="F2199" s="2" t="inlineStr">
        <is>
          <t>5999084949136</t>
        </is>
      </c>
      <c r="G2199" s="4" t="inlineStr">
        <is>
          <t>Az SA 50 USB Adapter 4 db USB aljzattal ellátott, így egyidejűleg négy készülék is tölthető a segítségével. A 4 db megosztott USB kimenet aljzatonként maximum 3,1 A, összesen pedig maximum 5 A árammal képesek tölteni készülékeit. Nagyáramú, 3,1 A-es töltési lehetőség gyorstöltést funkciót biztosít.
Bemenete 100-240 V. 
Ha elvesztette készülékéhez tartozó töltő adapterét vagy csak egyszerre 4 eszközt szeretne tölteni, úgy az SA 50 USB termékünk lesz a legmegfelelőbb erre.</t>
        </is>
      </c>
    </row>
    <row r="2200">
      <c r="A2200" s="3" t="inlineStr">
        <is>
          <t>3.100110</t>
        </is>
      </c>
      <c r="B2200" s="2" t="inlineStr">
        <is>
          <t>SAL 3.100110 autós USB töltő, 2 USB aljzat, 1 kihúzható micro USB csatlakozó, 3.1 A megosztott</t>
        </is>
      </c>
      <c r="C2200" s="1" t="n">
        <v>1990.0</v>
      </c>
      <c r="D2200" s="7" t="n">
        <f>HYPERLINK("https://www.somogyi.hu/product/sal-3-100110-autos-usb-tolto-2-usb-aljzat-1-kihuzhato-micro-usb-csatlakozo-3-1-a-megosztott-3-100110-15949","https://www.somogyi.hu/product/sal-3-100110-autos-usb-tolto-2-usb-aljzat-1-kihuzhato-micro-usb-csatlakozo-3-1-a-megosztott-3-100110-15949")</f>
        <v>0.0</v>
      </c>
      <c r="E2200" s="7" t="n">
        <f>HYPERLINK("https://www.somogyi.hu/data/img/product_main_images/small/15949.jpg","https://www.somogyi.hu/data/img/product_main_images/small/15949.jpg")</f>
        <v>0.0</v>
      </c>
      <c r="F2200" s="2" t="inlineStr">
        <is>
          <t>7640167560295</t>
        </is>
      </c>
      <c r="G2200" s="4" t="inlineStr">
        <is>
          <t>A Q2 POWER 3.100110 Autós USB töltő 2 db USB kimenettel és 1 db kihúzható Micro- USB csatlakozóval ellátott, hogy egyidejűleg három készüléket is tölteni tudjon autójában. A prémium minőségű Q2 POWER termékek hosszú távú és megbízható használatot biztosítanak. 
Alkalmazható 12-24 V-os járművekben. 2 db megosztott USB kimenettel és 1 db Micro- USB csatlakozóval rendelkezik, melyek összesen 3,1 A árammal képesek tölteni készülékeit.
Az autós USB töltő elengedhetetlen a hosszú utazásokhoz.</t>
        </is>
      </c>
    </row>
    <row r="2201">
      <c r="A2201" s="3" t="inlineStr">
        <is>
          <t>NEB-PBK-0010-G</t>
        </is>
      </c>
      <c r="B2201" s="2" t="inlineStr">
        <is>
          <t>NEBO NEB-PBK-0010-G 10K Rapid-Pack, Wireless, PowerBank, 10.000 mAh, 1x USB-A (2,1 A), 1x USB-C (2,1 A), vezeték nélküli töltés</t>
        </is>
      </c>
      <c r="C2201" s="1" t="n">
        <v>19490.0</v>
      </c>
      <c r="D2201" s="7" t="n">
        <f>HYPERLINK("https://www.somogyi.hu/product/nebo-neb-pbk-0010-g-10k-rapid-pack-wireless-powerbank-10-000-mah-1x-usb-a-2-1-a-1x-usb-c-2-1-a-vezetek-nelkuli-toltes-neb-pbk-0010-g-18234","https://www.somogyi.hu/product/nebo-neb-pbk-0010-g-10k-rapid-pack-wireless-powerbank-10-000-mah-1x-usb-a-2-1-a-1x-usb-c-2-1-a-vezetek-nelkuli-toltes-neb-pbk-0010-g-18234")</f>
        <v>0.0</v>
      </c>
      <c r="E2201" s="7" t="n">
        <f>HYPERLINK("https://www.somogyi.hu/data/img/product_main_images/small/18234.jpg","https://www.somogyi.hu/data/img/product_main_images/small/18234.jpg")</f>
        <v>0.0</v>
      </c>
      <c r="F2201" s="2" t="inlineStr">
        <is>
          <t>5060945230837</t>
        </is>
      </c>
      <c r="G2201" s="4" t="inlineStr">
        <is>
          <t>Elmúltak már azok az idők, amikor a vezetékkel való bajlódás megszakította a napi rutinját. 
A 10K RAPID-PACK WIRELESS hordozható töltővel most a vezeték nélküli szabadságot is magával viheti. 
Ez az innovatív eszköz 10 000 mAh kapacitásával nem csak garantálja, hogy okostelefonja vagy tabletje sose merüljön le, de töltöttség jelző LED-del is ellátott, hogy mindig képben legyen az energiaellátásról.
Vezeték nélküli töltési lehetőséggel és kényelmes hátsó kitámasztóval rendelkezik, így nemcsak otthon, de útközben is használhatja, anélkül, hogy kompromisszumot kellene kötnie. 
A töltő egy USB-A és egy USB-C porttal is bír, melyek lehetővé teszik az eszközei gyors és hatékony feltöltését. 
Az USB-C port dupla funkciójú, hiszen azt is lehetővé teszi, hogy a RAPID-PACK WIRELESS maga is gyorsan feltölthető legyen.
A termék kényelmes tartozékai közé tartozik egy USB-C-ről USB-A-ra alakító adapter és egy 45 cm-es USB-C – USB-C kábel, így bármilyen eszközével kompatibilis. 
Mindezt egy olyan csomagban kínáljuk, amelynek mérete csak 143 x 71 x 30 mm, súlya pedig 242 g, tehát könnyedén magával viheti, ahová csak szeretne.
Az energiaszükségletének megfelelően válassza a 10K RAPID-PACK WIRELESS-t, és tapasztalja meg a töltés új dimenzióját!</t>
        </is>
      </c>
    </row>
    <row r="2202">
      <c r="A2202" s="3" t="inlineStr">
        <is>
          <t>NEB-PBK-0029-G</t>
        </is>
      </c>
      <c r="B2202" s="2" t="inlineStr">
        <is>
          <t>NEBO NEB-PBK-0029-G 20K Rapid-Pack, PowerBank, 20.000 mAh, 1x USB-A (2,1 A), 1x USB-C (2,1 A)</t>
        </is>
      </c>
      <c r="C2202" s="1" t="n">
        <v>23990.0</v>
      </c>
      <c r="D2202" s="7" t="n">
        <f>HYPERLINK("https://www.somogyi.hu/product/nebo-neb-pbk-0029-g-20k-rapid-pack-powerbank-20-000-mah-1x-usb-a-2-1-a-1x-usb-c-2-1-a-neb-pbk-0029-g-18235","https://www.somogyi.hu/product/nebo-neb-pbk-0029-g-20k-rapid-pack-powerbank-20-000-mah-1x-usb-a-2-1-a-1x-usb-c-2-1-a-neb-pbk-0029-g-18235")</f>
        <v>0.0</v>
      </c>
      <c r="E2202" s="7" t="n">
        <f>HYPERLINK("https://www.somogyi.hu/data/img/product_main_images/small/18235.jpg","https://www.somogyi.hu/data/img/product_main_images/small/18235.jpg")</f>
        <v>0.0</v>
      </c>
      <c r="F2202" s="2" t="inlineStr">
        <is>
          <t>5060945230820</t>
        </is>
      </c>
      <c r="G2202" s="4" t="inlineStr">
        <is>
          <t>Olyan power bankot keres, amely nem csak tölt, hanem információt is ad a töltés állapotáról? 
A 20K RAPID-PACK nem csupán egy átlagos hordozható töltő, hanem egy 20 000 mAh kapacitású energiaforrás, melynek töltöttségi szintjét egy LED és egy digitális kijelző segítségével is ellenőrizheti.
Az eszköz egy USB-A (5 V / 2,1 A) és egy USB-C (5 V / 2,1 A) csatlakozóval rendelkezik, amelyek lehetővé teszik a többféle eszköz gyors és hatékony töltését. 
Az USB-C port kettős funkciójú: nem csak kimenet, hanem bemenet is egyben, így a 20K RAPID-PACK egyszerűen és gyorsan újratölthető.
A csomag tartalmaz egy USB-C-ről USB-A-ra alakító adaptert és egy 45 cm hosszú USB-C – USB-C kábelt is, így még több eszközzel kompatibilis. 
Méretei – 143 x 71 x 30 mm – és súlya, mindössze 433 g, ideálissá teszik utazáshoz vagy hosszú napokhoz, amikor nincs lehetőség a folyamatos töltésre.
Ne bízza a véletlenre eszközei töltését! Válassza a 20K RAPID-PACK-ot, és élvezze a hosszantartó, megbízható energiaellátást!</t>
        </is>
      </c>
    </row>
    <row r="2203">
      <c r="A2203" s="3" t="inlineStr">
        <is>
          <t>NEB-PST-0004-G</t>
        </is>
      </c>
      <c r="B2203" s="2" t="inlineStr">
        <is>
          <t>NEBO NEB-PST-0004-G Rambler PS100, PowerBank, 95,9 Wh, 2x USB-A (2,4 A), 1x USB-C PD (45W), szolárpanel kompatibilis, 385 lm lámpa</t>
        </is>
      </c>
      <c r="C2203" s="1" t="n">
        <v>99290.0</v>
      </c>
      <c r="D2203" s="7" t="n">
        <f>HYPERLINK("https://www.somogyi.hu/product/nebo-neb-pst-0004-g-rambler-ps100-powerbank-95-9-wh-2x-usb-a-2-4-a-1x-usb-c-pd-45w-szolarpanel-kompatibilis-385-lm-lampa-neb-pst-0004-g-18238","https://www.somogyi.hu/product/nebo-neb-pst-0004-g-rambler-ps100-powerbank-95-9-wh-2x-usb-a-2-4-a-1x-usb-c-pd-45w-szolarpanel-kompatibilis-385-lm-lampa-neb-pst-0004-g-18238")</f>
        <v>0.0</v>
      </c>
      <c r="E2203" s="7" t="n">
        <f>HYPERLINK("https://www.somogyi.hu/data/img/product_main_images/small/18238.jpg","https://www.somogyi.hu/data/img/product_main_images/small/18238.jpg")</f>
        <v>0.0</v>
      </c>
      <c r="F2203" s="2" t="inlineStr">
        <is>
          <t>5060945230844</t>
        </is>
      </c>
      <c r="G2203" s="4" t="inlineStr">
        <is>
          <t>Elgondolkodott már azon, hogy egyetlen eszközzel megoldhatja az összes töltési igényét, legyen az okostelefon, vagy laptop? 
A RAMBLER PS100 egy univerzális, többfunkciós energiatároló, amely 95,9 Wh kapacitású beépített akkumulátorral rendelkezik. 
A töltöttség állapotát egy LED és egy digitális kijelző is mutatja, így mindig tudni fogja, mennyi energia áll még rendelkezésére.
Az eszköz vezeték nélküli töltési lehetőséget is kínál, 10W teljesítménnyel, és nem kevesebb mint két USB-A (5V/2,4A) és egy USB-C PD (45W) porttal van felszerelve. Ezek a portok nem csupán kimenetként, de bemenetként is működnek, ami kiválóan használható, ha például szolárpanellel szeretné feltölteni a készüléket. A DC bemenet pedig 12-24V közötti feszültségeloszlásban képes fogadni energiát, max. 50W teljesítményig, és szolárpanel kompatibilis.
Ráadásul a beépített 385 lumen fényerőjű LED lámpa lehetővé teszi, hogy sötétedés után is kényelmesen használja az eszközt. 
A csomag tartozékai között megtalálható egy 20W-os USB-PD töltőadapter, egy kb. 60 cm hosszú USB-C kábel, és egy 12V DC tápkábel.
Összegezve, a RAMBLER PS100 egy kompakt, de mégis univerzális energiatároló megoldás. Szerezze be még ma, és élvezze az energia szabadságát bárhol, bármikor!</t>
        </is>
      </c>
    </row>
    <row r="2204">
      <c r="A2204" s="3" t="inlineStr">
        <is>
          <t>NEB-PBK-0006-G</t>
        </is>
      </c>
      <c r="B2204" s="2" t="inlineStr">
        <is>
          <t>NEBO NEB-PBK-0006-G ULTIMATE, Jump Starter, 12VDC/600 A 3mp, 1500 A max., kompresszor, 130 psi max., LCD kijelző, Smart Charge, indítókábelek</t>
        </is>
      </c>
      <c r="C2204" s="1" t="n">
        <v>107990.0</v>
      </c>
      <c r="D2204" s="7" t="n">
        <f>HYPERLINK("https://www.somogyi.hu/product/nebo-neb-pbk-0006-g-ultimate-jump-starter-12vdc-600-a-3mp-1500-a-max-kompresszor-130-psi-max-lcd-kijelzo-smart-charge-inditokabelek-neb-pbk-0006-g-18463","https://www.somogyi.hu/product/nebo-neb-pbk-0006-g-ultimate-jump-starter-12vdc-600-a-3mp-1500-a-max-kompresszor-130-psi-max-lcd-kijelzo-smart-charge-inditokabelek-neb-pbk-0006-g-18463")</f>
        <v>0.0</v>
      </c>
      <c r="E2204" s="7" t="n">
        <f>HYPERLINK("https://www.somogyi.hu/data/img/product_main_images/small/18463.jpg","https://www.somogyi.hu/data/img/product_main_images/small/18463.jpg")</f>
        <v>0.0</v>
      </c>
      <c r="F2204" s="2" t="inlineStr">
        <is>
          <t>5060945230943</t>
        </is>
      </c>
      <c r="G2204" s="4" t="inlineStr">
        <is>
          <t>Egy mindent tudó eszközt keres, amely segítségére van az úton? A NEBO ULTIMATE Jump Starter és kompresszor a tökéletes választás minden autótulajdonos számára. Ez a sokoldalú eszköz egy 15 000 mAh-s akkumulátorral rendelkezik, amely 55 500 mWh kapacitást biztosít, és segítségével könnyedén újraélesztheti autója akkumulátorát.
Az USB-C PD/QC3.0 20W-os bemenet/kimenet és az USB-A 5V 2,4A-os kimenet lehetővé teszi, hogy gyorsan töltse fel elektronikai eszközeit. Az AC kimenetével bárhol használhatja hálózati eszközeit, míg a Jump Start funkció 12VDC/600 A indítóáramot biztosít, csúcson akár 1500 A-t is képes leadni.
A beépített 130 PSI maximális nyomású légkompresszor ideális abroncsok, labdák vagy akár matracok felfújásához. A NEBO ULTIMATE nemcsak erős és rendkívül megbízható, hanem hordozható is, köszönhetően a kompakt méretének és a 1150 g-os tömegének.
Az intelligens Smart Charge technológia optimalizálja a töltést az eszközei számára, míg az átmenő töltés funkcióval egyszerre több eszközt is tölthet. A színes LCD kijelző könnyen olvasható és információt nyújt az eszköz állapotáról, a beépített fényvető pedig három különböző módban (fehér, piros, stroboszkóp) biztosít világítást vészhelyzetben.
A csomag tartalmazza az indítókábeleket, töltőcsatlakozókat és egy hordtáskát, így minden, amire szüksége lehet, kéznél van. Legyen felkészült bármilyen helyzetre az úton a NEBO ULTIMATE Jump Starter és kompresszorral!</t>
        </is>
      </c>
    </row>
    <row r="2205">
      <c r="A2205" s="3" t="inlineStr">
        <is>
          <t>NEB-PBK-0004-G</t>
        </is>
      </c>
      <c r="B2205" s="2" t="inlineStr">
        <is>
          <t>NEBO NEB-PBK-0004-G Assist-Air Jump Starter, 1500 A, 55,5 Wh akkumulátor, 120 PSI, 1x USB-A (2,1 A), 1x USB-C (20 W), 200 lm, indítás rásegítő</t>
        </is>
      </c>
      <c r="C2205" s="1" t="n">
        <v>99190.0</v>
      </c>
      <c r="D2205" s="7" t="n">
        <f>HYPERLINK("https://www.somogyi.hu/product/nebo-neb-pbk-0004-g-assist-air-jump-starter-1500-a-55-5-wh-akkumulator-120-psi-1x-usb-a-2-1-a-1x-usb-c-20-w-200-lm-inditas-rasegito-neb-pbk-0004-g-18237","https://www.somogyi.hu/product/nebo-neb-pbk-0004-g-assist-air-jump-starter-1500-a-55-5-wh-akkumulator-120-psi-1x-usb-a-2-1-a-1x-usb-c-20-w-200-lm-inditas-rasegito-neb-pbk-0004-g-18237")</f>
        <v>0.0</v>
      </c>
      <c r="E2205" s="7" t="n">
        <f>HYPERLINK("https://www.somogyi.hu/data/img/product_main_images/small/18237.jpg","https://www.somogyi.hu/data/img/product_main_images/small/18237.jpg")</f>
        <v>0.0</v>
      </c>
      <c r="F2205" s="2" t="inlineStr">
        <is>
          <t>5060945230875</t>
        </is>
      </c>
      <c r="G2205" s="4" t="inlineStr">
        <is>
          <t>Néha nem éppen a legjobbkor merül le az autó akkumulátora, igaz? Az ASSIST AIR JUMP STARTER nem csupán egy egyszerű indításrásegítő, ez egy multifunkciós segédeszköz, amely az Ön autója szolgálatában áll. Ezzel a kompakt, de erőteljes készülékkel, amely max. 1500 A áramerősségű beépített 55,5 Wh-s akkumulátorral rendelkezik, bármikor könnyedén újraindíthatja járművét. A töltöttség jelző LED és a digitális kijelző mindig tájékoztat az eszköz állapotáról.
Az ASSIST AIR nem csupán egy jump starter: a beépített légkompresszorral, amely automatikus érzékeléssel és 120 PSI teljesítménnyel büszkélkedik, könnyedén ellenőrizheti és szabályozhatja a gumiabroncsok nyomását. De várjunk csak, van még több! A készülék USB-A és USB-C portokkal is fel van szerelve, tehát mobiltelefonját vagy egyéb USB-ről tölthető eszközeit is töltheti. Ha pedig fény szükséges, egy 200 lumen fényerőjű LED lámpa is a rendelkezésére áll.
A tartozékok között indítókábel, 12 V-os autós töltő, USB-C adapter, levegőtömlő, cserélhető levegőfúvóka készlet, és egy mikroszálas tárolótáska is megtalálható. Mindezt 1,3 kg-os összsúly mellett és 251 x 124 x 46 mm méretekben.
Tehát, ha egy megbízható, mindenre képes segédeszközt keres az autójához, az ASSIST AIR JUMP STARTER az Ön választása lehet. Ne hagyja, hogy egy lemerült akkumulátor vagy alacsony gumiabroncs-nyomás megszakítsa az útját. Rendelje meg most, és legyen felkészült minden helyzetre!</t>
        </is>
      </c>
    </row>
    <row r="2206">
      <c r="A2206" s="3" t="inlineStr">
        <is>
          <t>3.100130</t>
        </is>
      </c>
      <c r="B2206" s="2" t="inlineStr">
        <is>
          <t>SAL 3.100130 autós USB töltő, 2 USB aljzat, 1 kihúzható USB type C csatlakozó, 3.1 A megosztott</t>
        </is>
      </c>
      <c r="C2206" s="1" t="n">
        <v>2590.0</v>
      </c>
      <c r="D2206" s="7" t="n">
        <f>HYPERLINK("https://www.somogyi.hu/product/sal-3-100130-autos-usb-tolto-2-usb-aljzat-1-kihuzhato-usb-type-c-csatlakozo-3-1-a-megosztott-3-100130-15951","https://www.somogyi.hu/product/sal-3-100130-autos-usb-tolto-2-usb-aljzat-1-kihuzhato-usb-type-c-csatlakozo-3-1-a-megosztott-3-100130-15951")</f>
        <v>0.0</v>
      </c>
      <c r="E2206" s="7" t="n">
        <f>HYPERLINK("https://www.somogyi.hu/data/img/product_main_images/small/15951.jpg","https://www.somogyi.hu/data/img/product_main_images/small/15951.jpg")</f>
        <v>0.0</v>
      </c>
      <c r="F2206" s="2" t="inlineStr">
        <is>
          <t>7640167560318</t>
        </is>
      </c>
      <c r="G2206" s="4" t="inlineStr">
        <is>
          <t>A Q2 POWER 3.100130 Autós USB töltő 2 db USB kimenettel és 1 db kihúzható USB- C csatlakozóval ellátott, hogy egyidejűleg három készüléket is tölteni tudjon autójában. A prémium minőségű Q2 POWER termékek hosszú távú és megbízható használatot biztosítanak. 
Alkalmazható 12-24 V-os járművekben. 2 db megosztott USB kimenettel és 1 db USB- C csatlakozóval rendelkezik, melyek összesen 3,1 A árammal képesek tölteni készülékeit.
Az autós USB töltő elengedhetetlen a hosszú utazásokhoz.</t>
        </is>
      </c>
    </row>
    <row r="2207">
      <c r="A2207" s="3" t="inlineStr">
        <is>
          <t>NEB-PBK-0003-G</t>
        </is>
      </c>
      <c r="B2207" s="2" t="inlineStr">
        <is>
          <t>NEBO NEB-PBK-0003-G Assist Jump Starter, 1200 A, 44,4 Wh akkumulátor, 2x USB-A (2,1 A), 1x USB-C (20 W), 200 lm, indítás rásegítő</t>
        </is>
      </c>
      <c r="C2207" s="1" t="n">
        <v>68690.0</v>
      </c>
      <c r="D2207" s="7" t="n">
        <f>HYPERLINK("https://www.somogyi.hu/product/nebo-neb-pbk-0003-g-assist-jump-starter-1200-a-44-4-wh-akkumulator-2x-usb-a-2-1-a-1x-usb-c-20-w-200-lm-inditas-rasegito-neb-pbk-0003-g-18236","https://www.somogyi.hu/product/nebo-neb-pbk-0003-g-assist-jump-starter-1200-a-44-4-wh-akkumulator-2x-usb-a-2-1-a-1x-usb-c-20-w-200-lm-inditas-rasegito-neb-pbk-0003-g-18236")</f>
        <v>0.0</v>
      </c>
      <c r="E2207" s="7" t="n">
        <f>HYPERLINK("https://www.somogyi.hu/data/img/product_main_images/small/18236.jpg","https://www.somogyi.hu/data/img/product_main_images/small/18236.jpg")</f>
        <v>0.0</v>
      </c>
      <c r="F2207" s="2" t="inlineStr">
        <is>
          <t>5060945230868</t>
        </is>
      </c>
      <c r="G2207" s="4" t="inlineStr">
        <is>
          <t>Meglepődne, ha egy kompakt, 0,7 kg-os készülék nemcsak az autója, de az elektronikai eszközei életét is megmentené? 
Az ASSIST JUMP STARTER egy olyan erőteljes indítókészlet, amely max. 1200 A áramerősségű, 44,4 Wh kapacitású beépített akkumulátorral rendelkezik. 
Az eszközön elhelyezett töltöttség jelző LED és digitális kijelző segít szemmel tartani az akkumulátor állapotát, hogy mindig felkészült legyen.
Az USB-A és USB-C portoknak köszönhetően nemcsak az autót indíthatja el újra, hanem a mobiltelefonját és egyéb USB-ről tölthető eszközeit is töltés alatt tarthatja. 
A 2x USB-A (5V/2,1A) és 1x USB-C gyorstöltő (max. 20W) portok az Ön teljes digitális életét szolgálják.
De a funkcionalitás itt nem ér véget! A beépített 200 lumen fényerőjű LED lámpa sötétedés esetén is a segítségére lesz. 
A tartozékok között indítókábel és 12V-os autós töltő is található, így még több módon lehet felkészült bármilyen helyzetre.
Mindezt az alábbi méretekben kínáljuk: 200 x 96 x 40 mm, így könnyedén elfér az autója kesztyűtartójában vagy akár a táskájában is. 
Ne hagyja, hogy egy váratlan helyzet meghiúsítsa a terveit. Rendelje meg az ASSIST JUMP STARTER-t most, és maradjon úton, online és a játékban!</t>
        </is>
      </c>
    </row>
    <row r="2208">
      <c r="A2208" s="3" t="inlineStr">
        <is>
          <t>SAU 24C</t>
        </is>
      </c>
      <c r="B2208" s="2" t="inlineStr">
        <is>
          <t>SAL SAU 24C autós USB töltő 2in1, 2 készülék, USB, USB-C, 2,4 A összesen</t>
        </is>
      </c>
      <c r="C2208" s="1" t="n">
        <v>2290.0</v>
      </c>
      <c r="D2208" s="7" t="n">
        <f>HYPERLINK("https://www.somogyi.hu/product/sal-sau-24c-autos-usb-tolto-2in1-2-keszulek-usb-usb-c-2-4-a-osszesen-sau-24c-17702","https://www.somogyi.hu/product/sal-sau-24c-autos-usb-tolto-2in1-2-keszulek-usb-usb-c-2-4-a-osszesen-sau-24c-17702")</f>
        <v>0.0</v>
      </c>
      <c r="E2208" s="7" t="n">
        <f>HYPERLINK("https://www.somogyi.hu/data/img/product_main_images/small/17702.jpg","https://www.somogyi.hu/data/img/product_main_images/small/17702.jpg")</f>
        <v>0.0</v>
      </c>
      <c r="F2208" s="2" t="inlineStr">
        <is>
          <t>5999084957247</t>
        </is>
      </c>
      <c r="G2208" s="4" t="inlineStr">
        <is>
          <t xml:space="preserve"> • bemenet: 12 - 24 V DC 
 • kimenet: 5 V 2,4 A összterhelhetőség (USB: 5 V / 2,4 A max. / USB-C: 5 V / 2,1 A max.) 
 • színe: fekete 
 • egyéb funkciók: két készülék egyidejű töltéséhez • USB aljzat   USB-C dugó spirál vezetéken • működést jelző LED • ne alkalmazza, ha készülékének gyártója mást ír elő</t>
        </is>
      </c>
    </row>
    <row r="2209">
      <c r="A2209" s="3" t="inlineStr">
        <is>
          <t>SAU 24MU</t>
        </is>
      </c>
      <c r="B2209" s="2" t="inlineStr">
        <is>
          <t>SAL SAU 24MU autós USB töltő 2in1, 2 készülék, USB, microUSB, 2,4 A összesen</t>
        </is>
      </c>
      <c r="C2209" s="1" t="n">
        <v>2190.0</v>
      </c>
      <c r="D2209" s="7" t="n">
        <f>HYPERLINK("https://www.somogyi.hu/product/sal-sau-24mu-autos-usb-tolto-2in1-2-keszulek-usb-microusb-2-4-a-osszesen-sau-24mu-17701","https://www.somogyi.hu/product/sal-sau-24mu-autos-usb-tolto-2in1-2-keszulek-usb-microusb-2-4-a-osszesen-sau-24mu-17701")</f>
        <v>0.0</v>
      </c>
      <c r="E2209" s="7" t="n">
        <f>HYPERLINK("https://www.somogyi.hu/data/img/product_main_images/small/17701.jpg","https://www.somogyi.hu/data/img/product_main_images/small/17701.jpg")</f>
        <v>0.0</v>
      </c>
      <c r="F2209" s="2" t="inlineStr">
        <is>
          <t>5999084957230</t>
        </is>
      </c>
      <c r="G2209" s="4" t="inlineStr">
        <is>
          <t>Megbízható autós töltőt keres, amely képes egyszerre két készüléket is tölteni útközben? A Home SAU24MU tökéletes választás azok számára, akik gyakran utaznak és szükségük van egy univerzális töltőre járműveikben.
Ez a praktikus készülék egy USB aljzattal és egy spirál vezetéken elhelyezett microUSB dugóval rendelkezik, így lehetővé teszi két készülék egyidejű töltését, például egy okostelefont és egy táblagépet. A működést jelző LED biztosítja, hogy mindig tudja, amikor a töltő aktív és működik. A Home SAU24MU töltő 5V/2,4A összterhelhetőséggel rendelkezik, ami biztosítja a gyors és hatékony töltést.
További előnye, hogy 12-24 V-os járművekben egyaránt használható, így személyautókban, teherautókban és buszokban is tökéletesen működik. Fontos megjegyezni, hogy a Home SAU24MU töltőt csak abban az esetben használja, ha készülékének gyártója nem ír elő más típusú töltőt. Biztonsága és készüléke hosszú élettartama érdekében mindig kövesse a gyártó utasításait.
Válassza a Home SAU24MU töltőt, ha egy megbízható, sokoldalú és könnyen használható autós töltőt keres, amely képes egyszerre két készüléket is tölteni. Rendelje meg most, és soha többé ne maradjon lemerült akkumulátorral útközben!</t>
        </is>
      </c>
    </row>
    <row r="2210">
      <c r="A2210" s="3" t="inlineStr">
        <is>
          <t>SA 144</t>
        </is>
      </c>
      <c r="B2210" s="2" t="inlineStr">
        <is>
          <t>SAL SA 144 autós töltő, szivargyújtó hosszabbító, 3,6m, gyorskioldó, porvédő, F15A biztosíték</t>
        </is>
      </c>
      <c r="C2210" s="1" t="n">
        <v>3790.0</v>
      </c>
      <c r="D2210" s="7" t="n">
        <f>HYPERLINK("https://www.somogyi.hu/product/sal-sa-144-autos-tolto-szivargyujto-hosszabbito-3-6m-gyorskioldo-porvedo-f15a-biztositek-sa-144-16699","https://www.somogyi.hu/product/sal-sa-144-autos-tolto-szivargyujto-hosszabbito-3-6m-gyorskioldo-porvedo-f15a-biztositek-sa-144-16699")</f>
        <v>0.0</v>
      </c>
      <c r="E2210" s="7" t="n">
        <f>HYPERLINK("https://www.somogyi.hu/data/img/product_main_images/small/16699.jpg","https://www.somogyi.hu/data/img/product_main_images/small/16699.jpg")</f>
        <v>0.0</v>
      </c>
      <c r="F2210" s="2" t="inlineStr">
        <is>
          <t>5999084947316</t>
        </is>
      </c>
      <c r="G2210" s="4" t="inlineStr">
        <is>
          <t>Az SA 144 Autós töltő 3,6 m hosszú vezetékkel ellátott, melynek a végén 1 db 12 V-os kimenet és 1 db USB gyorstöltő kimenet található. Praktikus kialakítása által ideális a hátsó utasoknak a telefon töltéséhez vagy a csomagtartóban elhelyezett hűtőládák üzemeltetéséhez. A készülék felcsavarozható tartóval ellátott és egy gumi porvédő fedéllel, hogy ne szennyeződjön. 
Az USB kimenet 5 V- 2,4 A, valamint a 12 V kimenet 10 A maximum terhelést bír el. 
Az USB autós töltő elengedhetetlen a hosszú utazásokhoz, nyaralásokhoz.</t>
        </is>
      </c>
    </row>
    <row r="2211">
      <c r="A2211" s="3" t="inlineStr">
        <is>
          <t>SA 20QCPD</t>
        </is>
      </c>
      <c r="B2211" s="2" t="inlineStr">
        <is>
          <t>Home SA 20QCPD 2in1 gyorstöltő, 20 W, QUICK CHARGE, POWER DELIVERY, hagyományos gyorstöltőként is működik, USB-A és USB-C csatlakozás</t>
        </is>
      </c>
      <c r="C2211" s="1" t="n">
        <v>4290.0</v>
      </c>
      <c r="D2211" s="7" t="n">
        <f>HYPERLINK("https://www.somogyi.hu/product/home-sa-20qcpd-2in1-gyorstolto-20-w-quick-charge-power-delivery-hagyomanyos-gyorstoltokent-is-mukodik-usb-a-es-usb-c-csatlakozas-sa-20qcpd-18055","https://www.somogyi.hu/product/home-sa-20qcpd-2in1-gyorstolto-20-w-quick-charge-power-delivery-hagyomanyos-gyorstoltokent-is-mukodik-usb-a-es-usb-c-csatlakozas-sa-20qcpd-18055")</f>
        <v>0.0</v>
      </c>
      <c r="E2211" s="7" t="n">
        <f>HYPERLINK("https://www.somogyi.hu/data/img/product_main_images/small/18055.jpg","https://www.somogyi.hu/data/img/product_main_images/small/18055.jpg")</f>
        <v>0.0</v>
      </c>
      <c r="F2211" s="2" t="inlineStr">
        <is>
          <t>5999084960773</t>
        </is>
      </c>
      <c r="G2211" s="4" t="inlineStr">
        <is>
          <t>Miért pazarolná tovább az idejét a lassú töltőkkel, amikor a HOME SA 20QCPD 2in1 USB gyorstöltővel mindent egy pillanat alatt megtehet!
Ez a kompakt és erőteljes gyorstöltő lehetővé teszi, hogy mobil eszközei hihetetlen sebességgel töltsd fel. A Home SA 20QCPD nem csak egy sima töltő – ez egy 2in1-ben, mely USB-A és USB-C portjain keresztül akár két készüléket is gyorsan tölthet.
Az USB-A port QUICK CHARGE (QC) kompatibilis, így akár 18W teljesítményt is képes kiszolgálni. Az USB-C port pedig POWER DELIVERY (PD) kompatibilis, és akár 20W teljesítményt is szállít, hogy az újabb eszközeit is hatékonyan tölthesse. A Home SA 20QCPD nem csak gyorstöltőként funkcionál, hanem hagyományos gyorstöltőként is használható, így régebbi eszközeit is gyorsan feltöltheti.
A PRI (bemeneti) tartománya 100-240V~ 50/60Hz 0.5Amax., így világszerte használható. Az USB-A port (QC) 5V/3A, 9V/2A, 12V/1.5A teljesítményt kínál, míg az USB-C port (PD) 5V/3A, 9V/2.22A, 12V/1.67A teljesítményt szállít. A SEC USB-A+USB-C (QC+PD) kombinációja pedig 5V/3A teljesítményt biztosít, hogy mindig maximálisan kihasználja a Home SA 20QCPD adta lehetőségeket.
Ne hagyja, hogy az alacsony töltési sebesség lelassítsa a napod! Szerezze be a Home SA 20QCPD 2in1 USB gyorstöltőt most, és élvezze a villámgyors töltés minden előnyét!</t>
        </is>
      </c>
    </row>
    <row r="2212">
      <c r="A2212" s="3" t="inlineStr">
        <is>
          <t>SAU 96</t>
        </is>
      </c>
      <c r="B2212" s="2" t="inlineStr">
        <is>
          <t>SAL SAU 96 nagy teljesítményű autós USB gyorstöltő, 48 W, 4 USB port, 4 x 2,4 A</t>
        </is>
      </c>
      <c r="C2212" s="1" t="n">
        <v>4290.0</v>
      </c>
      <c r="D2212" s="7" t="n">
        <f>HYPERLINK("https://www.somogyi.hu/product/sal-sau-96-nagy-teljesitmenyu-autos-usb-gyorstolto-48-w-4-usb-port-4-x-2-4-a-sau-96-16877","https://www.somogyi.hu/product/sal-sau-96-nagy-teljesitmenyu-autos-usb-gyorstolto-48-w-4-usb-port-4-x-2-4-a-sau-96-16877")</f>
        <v>0.0</v>
      </c>
      <c r="E2212" s="7" t="n">
        <f>HYPERLINK("https://www.somogyi.hu/data/img/product_main_images/small/16877.jpg","https://www.somogyi.hu/data/img/product_main_images/small/16877.jpg")</f>
        <v>0.0</v>
      </c>
      <c r="F2212" s="2" t="inlineStr">
        <is>
          <t>5999084949099</t>
        </is>
      </c>
      <c r="G2212" s="4" t="inlineStr">
        <is>
          <t xml:space="preserve"> • bemenet: 12 - 24 V DC 
 • kimenet: 4 x 5 V / 2,4 A /  Σ 9,6 A max. 
 • színe: fekete 
 • vezeték hossza: 1,8 m 
 • kimeneti csatlakozó: 4 x USB-A aljzat 
 • egyéb funkciók: egyidejűleg tölti az elöl és hátul ülők mobilkészülékeit</t>
        </is>
      </c>
    </row>
    <row r="2213">
      <c r="A2213" s="3" t="inlineStr">
        <is>
          <t>NEB-PBK-0019-G</t>
        </is>
      </c>
      <c r="B2213" s="2" t="inlineStr">
        <is>
          <t>NEBO NEB-PBK-0019-G 10K Rapid-Pack, PowerBank, 10.000 mAh, 1x USB-A (2,1 A), 1x USB-C (2,1 A)</t>
        </is>
      </c>
      <c r="C2213" s="1" t="n">
        <v>13590.0</v>
      </c>
      <c r="D2213" s="7" t="n">
        <f>HYPERLINK("https://www.somogyi.hu/product/nebo-neb-pbk-0019-g-10k-rapid-pack-powerbank-10-000-mah-1x-usb-a-2-1-a-1x-usb-c-2-1-a-neb-pbk-0019-g-18233","https://www.somogyi.hu/product/nebo-neb-pbk-0019-g-10k-rapid-pack-powerbank-10-000-mah-1x-usb-a-2-1-a-1x-usb-c-2-1-a-neb-pbk-0019-g-18233")</f>
        <v>0.0</v>
      </c>
      <c r="E2213" s="7" t="n">
        <f>HYPERLINK("https://www.somogyi.hu/data/img/product_main_images/small/18233.jpg","https://www.somogyi.hu/data/img/product_main_images/small/18233.jpg")</f>
        <v>0.0</v>
      </c>
      <c r="F2213" s="2" t="inlineStr">
        <is>
          <t>5060945230813</t>
        </is>
      </c>
      <c r="G2213" s="4" t="inlineStr">
        <is>
          <t>Milyen eszközzel gondoskodna hosszú utazásokon vagy elfoglalt napokon az eszközei töltéséről? 
A 10K RAPID-PACK hordozható töltő nem csak lenyűgöző 10 000 mAh kapacitással büszkélkedhet, de töltöttség jelző LED-del és digitális kijelzővel is ellátott, hogy mindig pontosan lássa az akkumulátor állapotát.
Ez a kompakt power bank egy USB-A (5 V / 2,1 A) és egy USB-C (5 V / 2,1 A) kimenettel rendelkezik, amelyek egyaránt alkalmasak a legkülönbözőbb okoseszközök gyors töltésére. 
A többfunkciós USB-C port bemenetként is szolgál, tehát a RAPID-PACK akkumulátora is villámgyorsan feltölthető vele.
Az eszköz tartozékai között talál egy USB-C-ről USB-A-ra alakító adaptert és egy 45 cm-es USB-C – USB-C kábelt is, ezáltal még többféle eszközzel kompatibilis. 
Mindezt egy olyan testbe zárva, ami mindössze 140 x 69 x 17 mm méretű és 244 g súlyú, így könnyedén elfér még a legzsúfoltabb táskákban is.
Ne maradjon le semmiről a nap folyamán! A 10K RAPID-PACK segítségével mindig lesz energiája az eszközeinek!</t>
        </is>
      </c>
    </row>
    <row r="2214">
      <c r="A2214" s="3" t="inlineStr">
        <is>
          <t>SA 2000Qi</t>
        </is>
      </c>
      <c r="B2214" s="2" t="inlineStr">
        <is>
          <t>Home SA 2000Qi vezeték nélküli töltő, 3in1, telefon, óra, fülhallgató, Qi szabvány, USB-C</t>
        </is>
      </c>
      <c r="C2214" s="1" t="n">
        <v>7190.0</v>
      </c>
      <c r="D2214" s="7" t="n">
        <f>HYPERLINK("https://www.somogyi.hu/product/home-sa-2000qi-vezetek-nelkuli-tolto-3in1-telefon-ora-fulhallgato-qi-szabvany-usb-c-sa-2000qi-17098","https://www.somogyi.hu/product/home-sa-2000qi-vezetek-nelkuli-tolto-3in1-telefon-ora-fulhallgato-qi-szabvany-usb-c-sa-2000qi-17098")</f>
        <v>0.0</v>
      </c>
      <c r="E2214" s="7" t="n">
        <f>HYPERLINK("https://www.somogyi.hu/data/img/product_main_images/small/17098.jpg","https://www.somogyi.hu/data/img/product_main_images/small/17098.jpg")</f>
        <v>0.0</v>
      </c>
      <c r="F2214" s="2" t="inlineStr">
        <is>
          <t>5999084951306</t>
        </is>
      </c>
      <c r="G2214" s="4" t="inlineStr">
        <is>
          <t xml:space="preserve"> • színe: fehér 
 • vezeték hossza: tartozék USB / USB-C töltőkábel, ~100 cm 
 • egyéb funkciók: - 3in1: telefon, óra és fülhallgató töltése egyidejűleg 
 •  - kényelmes, egy vezetékes csatlakoztatás	 
 •  - a telefon álló és fekvő helyzetben is elhelyezhető	 
 •  - gyártótól független telefonkompatibilitás, ha a telefon támogatja a Qi szabványú vezeték nélküli töltést	 
 •  - a karóra töltője szintén vezeték nélküli (pl. iWatch)	 
 •  - a fülhallgató töltője beépített Lightning dugóval rendelkezik (pl. Airdots)	 
 •  - több színű töltésjelző LED		 
 •  - méret: 200 x 100 x 85 mm 
 •  - Vásárlás előtt ellenőrizze termékei kompatibilitását! Ne alkalmazza, ha termékeinek gyártója mást ír elő!</t>
        </is>
      </c>
    </row>
    <row r="2215">
      <c r="A2215" s="6" t="inlineStr">
        <is>
          <t xml:space="preserve">   Mobiltartozék, adapter / USB csatlakozókábel</t>
        </is>
      </c>
      <c r="B2215" s="6" t="inlineStr">
        <is>
          <t/>
        </is>
      </c>
      <c r="C2215" s="6" t="inlineStr">
        <is>
          <t/>
        </is>
      </c>
      <c r="D2215" s="6" t="inlineStr">
        <is>
          <t/>
        </is>
      </c>
      <c r="E2215" s="6" t="inlineStr">
        <is>
          <t/>
        </is>
      </c>
      <c r="F2215" s="6" t="inlineStr">
        <is>
          <t/>
        </is>
      </c>
      <c r="G2215" s="6" t="inlineStr">
        <is>
          <t/>
        </is>
      </c>
    </row>
    <row r="2216">
      <c r="A2216" s="3" t="inlineStr">
        <is>
          <t>SA 044</t>
        </is>
      </c>
      <c r="B2216" s="2" t="inlineStr">
        <is>
          <t>Home SA 044 microUSB OTG kábel, USB-A aljzat, microUSB-B dugó, 2,1A, 16cm, 480 Mbps</t>
        </is>
      </c>
      <c r="C2216" s="1" t="n">
        <v>989.0</v>
      </c>
      <c r="D2216" s="7" t="n">
        <f>HYPERLINK("https://www.somogyi.hu/product/home-sa-044-microusb-otg-kabel-usb-a-aljzat-microusb-b-dugo-2-1a-16cm-480-mbps-sa-044-13662","https://www.somogyi.hu/product/home-sa-044-microusb-otg-kabel-usb-a-aljzat-microusb-b-dugo-2-1a-16cm-480-mbps-sa-044-13662")</f>
        <v>0.0</v>
      </c>
      <c r="E2216" s="7" t="n">
        <f>HYPERLINK("https://www.somogyi.hu/data/img/product_main_images/small/13662.jpg","https://www.somogyi.hu/data/img/product_main_images/small/13662.jpg")</f>
        <v>0.0</v>
      </c>
      <c r="F2216" s="2" t="inlineStr">
        <is>
          <t>5999084917142</t>
        </is>
      </c>
      <c r="G2216" s="4" t="inlineStr">
        <is>
          <t>Megfordítaná a mobilkészülék használatának módját egyetlen egyszerű kiegészítővel? A Home SA 044 microUSB OTG kábel a kulcs ahhoz, hogy mobiltelefonját vagy táblagépét új szintre emelje, lehetővé téve az USB-A eszközök közvetlen csatlakoztatását.
Ez a kétirányú adatkábel nem csak fájlok egyszerű és gyors másolását teszi lehetővé számítógép használata nélkül, hanem videók és zenék lejátszását is USB tárolóeszközökről közvetlenül a mobilkészüléken. Az OTG (On-The-Go) technológia révén a Home SA 044 kábel teljes mértékben kihasználja mobilkészülékének kapacitásait, így minden eddiginél sokoldalúbbá téve azt.
Az USB 2.0 szabvány támogatása biztosítja az 480 Mbps adatátviteli sebességet, míg a 5V / 2,1A kimenet optimális töltést nyújt csatlakoztatott eszközeinek. A kábel hossza, körülbelül 16 cm, ideális egyensúlyt teremt a hordozhatóság és a kényelmes használat között.
Fedezze fel a Home SA 044 microUSB OTG kábel által nyújtott végtelen lehetőségeket, és változtassa meg, hogyan használja mobilkészülékét.</t>
        </is>
      </c>
    </row>
    <row r="2217">
      <c r="A2217" s="3" t="inlineStr">
        <is>
          <t>USBF C2</t>
        </is>
      </c>
      <c r="B2217" s="2" t="inlineStr">
        <is>
          <t>Home USBF C2 töltőkábel, USB-A/USB-C, fordítható USB-A, 2m, 2,1A, adatkábel</t>
        </is>
      </c>
      <c r="C2217" s="1" t="n">
        <v>2190.0</v>
      </c>
      <c r="D2217" s="7" t="n">
        <f>HYPERLINK("https://www.somogyi.hu/product/home-usbf-c2-toltokabel-usb-a-usb-c-fordithato-usb-a-2m-2-1a-adatkabel-usbf-c2-17081","https://www.somogyi.hu/product/home-usbf-c2-toltokabel-usb-a-usb-c-fordithato-usb-a-2m-2-1a-adatkabel-usbf-c2-17081")</f>
        <v>0.0</v>
      </c>
      <c r="E2217" s="7" t="n">
        <f>HYPERLINK("https://www.somogyi.hu/data/img/product_main_images/small/17081.jpg","https://www.somogyi.hu/data/img/product_main_images/small/17081.jpg")</f>
        <v>0.0</v>
      </c>
      <c r="F2217" s="2" t="inlineStr">
        <is>
          <t>5999084951139</t>
        </is>
      </c>
      <c r="G2217" s="4" t="inlineStr">
        <is>
          <t xml:space="preserve"> • csatlakozódugók mérete: USB-A dugó / USB-C dugó 
 • vezeték hossza: kb.2 m 
 • színe: fekete / ezüst 
 • max. áram: 2,1 A max 
 • egyéb funkciók: • mindkét dugó fordítva is csatlakoztatható 
 • • kényelmes és gyors használat sötétben, autóban… 
 • • hajlékony, strapabíró, gabalyodásmentes lapos vezeték 
 • • prémium minőség</t>
        </is>
      </c>
    </row>
    <row r="2218">
      <c r="A2218" s="3" t="inlineStr">
        <is>
          <t>USB MULTI</t>
        </is>
      </c>
      <c r="B2218" s="2" t="inlineStr">
        <is>
          <t>Home USB MULTI 4in1 töltőkábel, USB-C, microUSB, USB-A, QC, PD, szőtt nejlon, 480 Mbps, 60Wmax, 1,5m vezeték</t>
        </is>
      </c>
      <c r="C2218" s="1" t="n">
        <v>4290.0</v>
      </c>
      <c r="D2218" s="7" t="n">
        <f>HYPERLINK("https://www.somogyi.hu/product/home-usb-multi-4in1-toltokabel-usb-c-microusb-usb-a-qc-pd-szott-nejlon-480-mbps-60wmax-1-5m-vezetek-usb-multi-17085","https://www.somogyi.hu/product/home-usb-multi-4in1-toltokabel-usb-c-microusb-usb-a-qc-pd-szott-nejlon-480-mbps-60wmax-1-5m-vezetek-usb-multi-17085")</f>
        <v>0.0</v>
      </c>
      <c r="E2218" s="7" t="n">
        <f>HYPERLINK("https://www.somogyi.hu/data/img/product_main_images/small/17085.jpg","https://www.somogyi.hu/data/img/product_main_images/small/17085.jpg")</f>
        <v>0.0</v>
      </c>
      <c r="F2218" s="2" t="inlineStr">
        <is>
          <t>5999084951177</t>
        </is>
      </c>
      <c r="G2218" s="4" t="inlineStr">
        <is>
          <t xml:space="preserve"> • csatlakozódugók mérete: C-C / C-microUSB / C-USB A / USB A-microUSB 
 • vezeték hossza: kb.1,5 m 
 • színe: fekete / ezüst 
 • max. áram: 3 A 
 • egyéb funkciók: • normál, QC és PD gyorstöltéshez is 
 • • exkluzív dizájn és minőség 
 • • igényes, hajlékony, nejlon szövésű vezeték 
 • • a fizikai behatásoknak jól ellenálló köpeny és fém dugók 
 • • kevésbé hajlamos gabalyodásra 
 • • általában adatkábelként is funkcionál (max. 480 Mps)</t>
        </is>
      </c>
    </row>
    <row r="2219">
      <c r="A2219" s="3" t="inlineStr">
        <is>
          <t>USBC OTG</t>
        </is>
      </c>
      <c r="B2219" s="2" t="inlineStr">
        <is>
          <t>Home USBC OTG kábel, USB-C dugó, USB-A aljzat, kétirányú, 16cm, 2,1A, 480 Mbps</t>
        </is>
      </c>
      <c r="C2219" s="1" t="n">
        <v>1450.0</v>
      </c>
      <c r="D2219" s="7" t="n">
        <f>HYPERLINK("https://www.somogyi.hu/product/home-usbc-otg-kabel-usb-c-dugo-usb-a-aljzat-ketiranyu-16cm-2-1a-480-mbps-usbc-otg-18180","https://www.somogyi.hu/product/home-usbc-otg-kabel-usb-c-dugo-usb-a-aljzat-ketiranyu-16cm-2-1a-480-mbps-usbc-otg-18180")</f>
        <v>0.0</v>
      </c>
      <c r="E2219" s="7" t="n">
        <f>HYPERLINK("https://www.somogyi.hu/data/img/product_main_images/small/18180.jpg","https://www.somogyi.hu/data/img/product_main_images/small/18180.jpg")</f>
        <v>0.0</v>
      </c>
      <c r="F2219" s="2" t="inlineStr">
        <is>
          <t>5999084962029</t>
        </is>
      </c>
      <c r="G2219" s="4" t="inlineStr">
        <is>
          <t>Kíváncsi, hogyan játszhatja le kedvenc filmjeit vagy zenéit közvetlenül mobilkészülékén? Esetleg külső perifériákat, mint például billentyűzetet csatlakoztatna táblagépéhez? A Home USBC OTG kábel a megoldás azok számára, akik szeretnék maximálisan kihasználni mobilkészülékük adta lehetőségeket. Ez a kétirányú adatkábel lehetővé teszi fájlok, videók és zenék számítógép használata nélküli másolását és lejátszását közvetlenül USB tárolóról.
USB A aljzat és USB-C dugó kialakításának köszönhetően ez a kábel rendkívül sokoldalú, és számos mobilkészülékkel kompatibilis, az alkalmazhatósága csak a készülék specifikációitól függ. Az USB2.0 szabvány biztosítja a gyors adatátvitelt, akár 480 Mbps sebességgel.
Legyen szó fájlok átviteléről, videók megtekintéséről vagy zenék hallgatásáról közvetlenül USB meghajtóról, a Home USBC OTG kábel egyszerűséget és kényelmet nyújt mobil eszközök használata során. Fedezze fel a mobilkészüléke valódi potenciálját a Home USBC OTG kábellel, és élvezze a multimédia új dimenzióit bárhol, bármikor.</t>
        </is>
      </c>
    </row>
    <row r="2220">
      <c r="A2220" s="3" t="inlineStr">
        <is>
          <t>USBC 1</t>
        </is>
      </c>
      <c r="B2220" s="2" t="inlineStr">
        <is>
          <t>Home USBC 1 töltőkábel, USB-A/USB-C, 1m, 2,1A, adatkábel</t>
        </is>
      </c>
      <c r="C2220" s="1" t="n">
        <v>1990.0</v>
      </c>
      <c r="D2220" s="7" t="n">
        <f>HYPERLINK("https://www.somogyi.hu/product/home-usbc-1-toltokabel-usb-a-usb-c-1m-2-1a-adatkabel-usbc-1-15819","https://www.somogyi.hu/product/home-usbc-1-toltokabel-usb-a-usb-c-1m-2-1a-adatkabel-usbc-1-15819")</f>
        <v>0.0</v>
      </c>
      <c r="E2220" s="7" t="n">
        <f>HYPERLINK("https://www.somogyi.hu/data/img/product_main_images/small/15819.jpg","https://www.somogyi.hu/data/img/product_main_images/small/15819.jpg")</f>
        <v>0.0</v>
      </c>
      <c r="F2220" s="2" t="inlineStr">
        <is>
          <t>5999084938536</t>
        </is>
      </c>
      <c r="G2220" s="4" t="inlineStr">
        <is>
          <t>Egy töltőkábelt keres, ami nem csak megbízható, hanem rugalmas és kényelmes használatot is ígér? A Home USBC 1 töltőkábel pontosan ezt kínálja, tökéletes választás mindenkinek, aki a mindennapi töltési igényeit szeretné egyszerűen és hatékonyan kielégíteni.
Ez a kábel kiemelkedik hajlékonyságával és könnyű használatával, így akár utazáshoz, irodába vagy otthoni használatra is ideális. Nem csak töltőként funkcionál, hanem adatkábelként is használható, ami lehetővé teszi az adatátvitelt és szinkronizálást a készülékek között anélkül, hogy több kábelt kellene magával vinnie. A kábel hossza, körülbelül 1 méter, elegendő távolságot biztosít a kényelmes csatlakoztatáshoz, miközben elég kompakt ahhoz, hogy könnyen tárolható és hordozható legyen.
Az USB 2.0 szabvány támogatásával a Home USBC 1 töltőkábel akár 5V / 2,1A maximális töltési sebességet is képes biztosítani, így eszközei gyorsan és hatékonyan lesznek feltöltve. Legyen szó telefonról, táblagépről vagy egyéb USB-C-s eszközről, ez a kábel gondoskodik róla, hogy mindig a maximumot hozza ki a töltési folyamatból.
Váltson a Home USBC 1 töltőkábelre, és tapasztalja meg a kényelmes, gyors és megbízható töltési élményt, amit ez a modern és hajlékony kábel kínál.</t>
        </is>
      </c>
    </row>
    <row r="2221">
      <c r="A2221" s="3" t="inlineStr">
        <is>
          <t>USBF 2</t>
        </is>
      </c>
      <c r="B2221" s="2" t="inlineStr">
        <is>
          <t>Home USBF 2 töltőkábel, 2 oldalú, fordítható, USB-A dugó, microUSB-B dugó, 2m, 2,1A, adatkábel</t>
        </is>
      </c>
      <c r="C2221" s="1" t="n">
        <v>1750.0</v>
      </c>
      <c r="D2221" s="7" t="n">
        <f>HYPERLINK("https://www.somogyi.hu/product/home-usbf-2-toltokabel-2-oldalu-fordithato-usb-a-dugo-microusb-b-dugo-2m-2-1a-adatkabel-usbf-2-17082","https://www.somogyi.hu/product/home-usbf-2-toltokabel-2-oldalu-fordithato-usb-a-dugo-microusb-b-dugo-2m-2-1a-adatkabel-usbf-2-17082")</f>
        <v>0.0</v>
      </c>
      <c r="E2221" s="7" t="n">
        <f>HYPERLINK("https://www.somogyi.hu/data/img/product_main_images/small/17082.jpg","https://www.somogyi.hu/data/img/product_main_images/small/17082.jpg")</f>
        <v>0.0</v>
      </c>
      <c r="F2221" s="2" t="inlineStr">
        <is>
          <t>5999084951146</t>
        </is>
      </c>
      <c r="G2221" s="4" t="inlineStr">
        <is>
          <t xml:space="preserve"> • csatlakozódugók mérete: USB-A aljzat / micro USB-B dugó 
 • vezeték hossza: kb.2 m 
 • színe: fekete 
 • max. áram: 2,1 A 
 • egyéb funkciók: mindkét dugó fordítva is csatlakoztatható</t>
        </is>
      </c>
    </row>
    <row r="2222">
      <c r="A2222" s="3" t="inlineStr">
        <is>
          <t>USBC A1</t>
        </is>
      </c>
      <c r="B2222" s="2" t="inlineStr">
        <is>
          <t>Home USBC A1 átalakító, USB-C dugó, microUSB aljzat, 2,1 A, 240 Mbps</t>
        </is>
      </c>
      <c r="C2222" s="1" t="n">
        <v>1750.0</v>
      </c>
      <c r="D2222" s="7" t="n">
        <f>HYPERLINK("https://www.somogyi.hu/product/home-usbc-a1-atalakito-usb-c-dugo-microusb-aljzat-2-1-a-240-mbps-usbc-a1-15820","https://www.somogyi.hu/product/home-usbc-a1-atalakito-usb-c-dugo-microusb-aljzat-2-1-a-240-mbps-usbc-a1-15820")</f>
        <v>0.0</v>
      </c>
      <c r="E2222" s="7" t="n">
        <f>HYPERLINK("https://www.somogyi.hu/data/img/product_main_images/small/15820.jpg","https://www.somogyi.hu/data/img/product_main_images/small/15820.jpg")</f>
        <v>0.0</v>
      </c>
      <c r="F2222" s="2" t="inlineStr">
        <is>
          <t>5999084938543</t>
        </is>
      </c>
      <c r="G2222" s="4" t="inlineStr">
        <is>
          <t>Van régi microUSB töltője, amit szeretne új USB-C-s eszközével használni? A Home USBC A1 átalakítóval most könnyedén megoldhatja ezt a problémát, így nem kell új kábeleket vásárolnia minden egyes eszközhöz.
Ez az átalakító egy USB-C dugóval és egy microUSB aljzattal rendelkezik, így lehetővé teszi, hogy régi microUSB töltőkábelét használja az új generációs USB-C-s eszközök töltésére és adatátvitelére. A kis eszköz általában adatkábelként is funkcionál, ami azt jelenti, hogy nem csak töltésre, hanem adatok átvitelére is tökéletesen alkalmas, legyen szó fotókról, videókról, vagy akár dokumentumokról.
Az USB 2.0 szabvány támogatásával a Home USBC A1 átalakító akár 240 Mbps adatátviteli sebességet és 5V / 2,1A töltési kapacitást is kínál, így gyors és hatékony töltést biztosít eszközeinek. A kis méret és a könnyű használat miatt ez az átalakító ideális társ utazáskor, munkában vagy akár otthoni használatra is.
Ne hagyja, hogy a különböző töltők és kábelek megnehezítsék életét. A Home USBC A1 átalakítóval régi és új eszközeit is zökkenőmentesen, egyszerűen használhatja.</t>
        </is>
      </c>
    </row>
    <row r="2223">
      <c r="A2223" s="3" t="inlineStr">
        <is>
          <t>USBF 1</t>
        </is>
      </c>
      <c r="B2223" s="2" t="inlineStr">
        <is>
          <t>Töltőkábel, microUSB</t>
        </is>
      </c>
      <c r="C2223" s="1" t="n">
        <v>769.0</v>
      </c>
      <c r="D2223" s="7" t="n">
        <f>HYPERLINK("https://www.somogyi.hu/product/toltokabel-microusb-usbf-1-15767","https://www.somogyi.hu/product/toltokabel-microusb-usbf-1-15767")</f>
        <v>0.0</v>
      </c>
      <c r="E2223" s="7" t="n">
        <f>HYPERLINK("https://www.somogyi.hu/data/img/product_main_images/small/15767.jpg","https://www.somogyi.hu/data/img/product_main_images/small/15767.jpg")</f>
        <v>0.0</v>
      </c>
      <c r="F2223" s="2" t="inlineStr">
        <is>
          <t>5999084938017</t>
        </is>
      </c>
      <c r="G2223" s="4" t="inlineStr">
        <is>
          <t>Az USBF 1 Töltőkábel USB-A dugóval és microUSB-B dugóval ellátott. Mindkét dugó fordítva is csatlakoztatható az aljzat pozíciójának ellenőrzése nélkül. 
Kényelmes és gyors használatot biztosít akár autóban is. A hajlékony, gabalyodás mentes lapos vezeték által strapabíró lesz. További előnyei, hogy prémium minőségű aranyozott érintkezőkkel felszerelt. Akár adatkábelként is funkcionálhat. 
Az USB 2.0 kimenet 5 V/ 2,1 A maximum terhelhetőséget bír el. 
A kábel hossza 1 m.</t>
        </is>
      </c>
    </row>
    <row r="2224">
      <c r="A2224" s="3" t="inlineStr">
        <is>
          <t>USBC A2</t>
        </is>
      </c>
      <c r="B2224" s="2" t="inlineStr">
        <is>
          <t>Home USBC A2 átalakító, USB-A dugó, USB-C aljzat, 2,1 A, 240 Mbps</t>
        </is>
      </c>
      <c r="C2224" s="1" t="n">
        <v>1690.0</v>
      </c>
      <c r="D2224" s="7" t="n">
        <f>HYPERLINK("https://www.somogyi.hu/product/home-usbc-a2-atalakito-usb-a-dugo-usb-c-aljzat-2-1-a-240-mbps-usbc-a2-18181","https://www.somogyi.hu/product/home-usbc-a2-atalakito-usb-a-dugo-usb-c-aljzat-2-1-a-240-mbps-usbc-a2-18181")</f>
        <v>0.0</v>
      </c>
      <c r="E2224" s="7" t="n">
        <f>HYPERLINK("https://www.somogyi.hu/data/img/product_main_images/small/18181.jpg","https://www.somogyi.hu/data/img/product_main_images/small/18181.jpg")</f>
        <v>0.0</v>
      </c>
      <c r="F2224" s="2" t="inlineStr">
        <is>
          <t>5999084962036</t>
        </is>
      </c>
      <c r="G2224" s="4" t="inlineStr">
        <is>
          <t xml:space="preserve"> • csatlakozódugók mérete: USB-C aljzat - USB-A dugó 
 • színe: fekete 
 • max. áram: 2,1 A 
 • funkció: átalakító 
 • egyéb funkciók: általában adattovábbításra is alkalmas</t>
        </is>
      </c>
    </row>
    <row r="2225">
      <c r="A2225" s="3" t="inlineStr">
        <is>
          <t>USBCC 60</t>
        </is>
      </c>
      <c r="B2225" s="2" t="inlineStr">
        <is>
          <t>Home USBCC 60 töltőkábel, USB-C/USB-C, QC, PD, 60 Wmax, 1m, 3A, adatkábel, 480 Mbps</t>
        </is>
      </c>
      <c r="C2225" s="1" t="n">
        <v>2590.0</v>
      </c>
      <c r="D2225" s="7" t="n">
        <f>HYPERLINK("https://www.somogyi.hu/product/home-usbcc-60-toltokabel-usb-c-usb-c-qc-pd-60-wmax-1m-3a-adatkabel-480-mbps-usbcc-60-18179","https://www.somogyi.hu/product/home-usbcc-60-toltokabel-usb-c-usb-c-qc-pd-60-wmax-1m-3a-adatkabel-480-mbps-usbcc-60-18179")</f>
        <v>0.0</v>
      </c>
      <c r="E2225" s="7" t="n">
        <f>HYPERLINK("https://www.somogyi.hu/data/img/product_main_images/small/18179.jpg","https://www.somogyi.hu/data/img/product_main_images/small/18179.jpg")</f>
        <v>0.0</v>
      </c>
      <c r="F2225" s="2" t="inlineStr">
        <is>
          <t>5999084962012</t>
        </is>
      </c>
      <c r="G2225" s="4" t="inlineStr">
        <is>
          <t>Ön is gyakran találja magát olyan helyzetben, ahol gyorsan kellene töltenie eszközeit, de nem rendelkezik megfelelő kábellel? A Home USBCC 60 töltőkábel a modern technológiai igényekre választ adó eszköz, amely nem csak a hagyományos töltést, hanem a Quick Charge (QC) és a Power Delivery (PD) gyorstöltési szabványokat is támogatja, így készülékei pillanatok alatt újra használatra készen állhatnak.
Az USB2.0 szabvány biztosítja a stabil adatátvitelt akár 480 Mbps sebességgel, míg a 20V, 3A valamint 60W-os kimeneti teljesítmény rendkívül terhelhetővé teszi a kábelt, így az újabb generációs notebookok és mobilkészülékek töltésére is alkalmas. A körülbelül 1 méter hosszúságú kábel kényelmet biztosít, legyen szó otthoni, irodai vagy utazáskor történő használatról.
Ráadásul ez a töltőkábel adatkábelként is funkcionál, lehetővé téve fájlok gyors átvitelét eszközei és számítógépe között. Fedezze fel a Home USBCC 60 töltőkábel nyújtotta sokoldalúságot, és tegye hatékonnyá eszközeinek töltését és adatkezelését!</t>
        </is>
      </c>
    </row>
    <row r="2226">
      <c r="A2226" s="3" t="inlineStr">
        <is>
          <t>USB A/MICRO-1</t>
        </is>
      </c>
      <c r="B2226" s="2" t="inlineStr">
        <is>
          <t>Home USB A/MICRO-1 töltőkábel, 1m, 1A, adatkábel</t>
        </is>
      </c>
      <c r="C2226" s="1" t="n">
        <v>959.0</v>
      </c>
      <c r="D2226" s="7" t="n">
        <f>HYPERLINK("https://www.somogyi.hu/product/home-usb-a-micro-1-toltokabel-1m-1a-adatkabel-usb-a-micro-1-10265","https://www.somogyi.hu/product/home-usb-a-micro-1-toltokabel-1m-1a-adatkabel-usb-a-micro-1-10265")</f>
        <v>0.0</v>
      </c>
      <c r="E2226" s="7" t="n">
        <f>HYPERLINK("https://www.somogyi.hu/data/img/product_main_images/small/10265.jpg","https://www.somogyi.hu/data/img/product_main_images/small/10265.jpg")</f>
        <v>0.0</v>
      </c>
      <c r="F2226" s="2" t="inlineStr">
        <is>
          <t>5998312788745</t>
        </is>
      </c>
      <c r="G2226" s="4" t="inlineStr">
        <is>
          <t>Hogyan tölthetné fel eszközeit gyorsan és egyszerűen, miközben adatokat is átvihet? A Home USB A/MICRO-1 töltőkábel az ideális megoldás azok számára, akik egy kábelben keresik a gyors töltés és az adatátvitel egyszerűségét.
Ez a kétirányú adatkábel nem csak a mobilkészülékek gyors töltését teszi lehetővé, hanem lehetőséget biztosít a fájlok, videók és zenék egyszerű másolására vagy lejátszására USB tárolókról, akár számítógép használata nélkül. Az USB-A aljzat és microUSB-B dugó kombinációja biztosítja a széleskörű kompatibilitást a legtöbb jelenlegi mobilkészülékkel és táblagéppel, így Ön sosem marad töltési lehetőség nélkül, legyen szó utazásról, munkáról vagy otthoni használatról.
A Home USB A/MICRO-1 töltőkábel az USB 2.0 szabványt támogatja, amely akár 480 Mbps adatátviteli sebességet is kínál, így nem csak a töltés gyors, de az adatok átvitele is villámgyors. A 5V / 2,1A kimeneti teljesítmény optimalizálja a töltési folyamatot, míg a kábel hossza, körülbelül 16 cm, tökéletes egyensúlyt kínál a hordozhatóság és a használati kényelem között.
Bővítse ki eszközei lehetőségeit a Home USB A/MICRO-1 töltőkábellel, amely egyszerre kínál töltést és adatátvitelt, anélkül, hogy kompromisszumot kellene kötnie a sebesség vagy a kényelem terén.</t>
        </is>
      </c>
    </row>
    <row r="2227">
      <c r="A2227" s="3" t="inlineStr">
        <is>
          <t>USBF 3</t>
        </is>
      </c>
      <c r="B2227" s="2" t="inlineStr">
        <is>
          <t>Home USBF 3 töltőkábel, 2 oldalú, fordítható, USB-A dugó, microUSB-B dugó, 3m, 2,1A, adatkábel</t>
        </is>
      </c>
      <c r="C2227" s="1" t="n">
        <v>1390.0</v>
      </c>
      <c r="D2227" s="7" t="n">
        <f>HYPERLINK("https://www.somogyi.hu/product/home-usbf-3-toltokabel-2-oldalu-fordithato-usb-a-dugo-microusb-b-dugo-3m-2-1a-adatkabel-usbf-3-15768","https://www.somogyi.hu/product/home-usbf-3-toltokabel-2-oldalu-fordithato-usb-a-dugo-microusb-b-dugo-3m-2-1a-adatkabel-usbf-3-15768")</f>
        <v>0.0</v>
      </c>
      <c r="E2227" s="7" t="n">
        <f>HYPERLINK("https://www.somogyi.hu/data/img/product_main_images/small/15768.jpg","https://www.somogyi.hu/data/img/product_main_images/small/15768.jpg")</f>
        <v>0.0</v>
      </c>
      <c r="F2227" s="2" t="inlineStr">
        <is>
          <t>5999084938024</t>
        </is>
      </c>
      <c r="G2227" s="4" t="inlineStr">
        <is>
          <t>Unja már, hogy sötétben vagy utazás közben bajlódik a töltőkábel csatlakoztatásával? A Home USBF 3 töltőkábel innovatív megoldást kínál: egy olyan kábelt, amelynek mindkét dugója fordítva is csatlakoztatható, így a használatát még a legnehezebb körülmények között is gyerekjátékká teszi.
Ez a töltőkábel nem csupán a kényelmes használatot helyezi előtérbe, hanem a tartósságot és megbízhatóságot is. A hajlékony, strapabíró és gabalyodásmentes lapos vezeték kialakítása garantálja, hogy a kábel hosszú távon is megőrzi formáját és funkcionalitását, akár úton, akár otthon használja. A prémium minőségű, aranyozott érintkezők biztosítják az optimális kapcsolatot és a hosszú élettartamot.
A Home USBF 3 töltőkábel nem csak töltésre alkalmas, hanem adatkábelként is funkcionál, így könnyedén átviheti a fájlokat a készülékek között, miközben az USB 2.0 szabványnak köszönhetően 5V / 2,1A maximális töltési teljesítményt nyújt. A 3 méter hosszúságú kábel extra rugalmasságot biztosít, így nem kell kompromisszumot kötnie a kényelem és a használhatóság között.
Búcsúzzon el a töltéssel és adatátvitellel kapcsolatos nehézségektől a Home USBF 3 töltőkábellel, amely minden igényt kielégítő megoldást nyújt a modern életvitelhez.</t>
        </is>
      </c>
    </row>
    <row r="2228">
      <c r="A2228" s="6" t="inlineStr">
        <is>
          <t xml:space="preserve">   Mobiltartozék, adapter / Adapter</t>
        </is>
      </c>
      <c r="B2228" s="6" t="inlineStr">
        <is>
          <t/>
        </is>
      </c>
      <c r="C2228" s="6" t="inlineStr">
        <is>
          <t/>
        </is>
      </c>
      <c r="D2228" s="6" t="inlineStr">
        <is>
          <t/>
        </is>
      </c>
      <c r="E2228" s="6" t="inlineStr">
        <is>
          <t/>
        </is>
      </c>
      <c r="F2228" s="6" t="inlineStr">
        <is>
          <t/>
        </is>
      </c>
      <c r="G2228" s="6" t="inlineStr">
        <is>
          <t/>
        </is>
      </c>
    </row>
    <row r="2229">
      <c r="A2229" s="3" t="inlineStr">
        <is>
          <t>MW MA06/G+</t>
        </is>
      </c>
      <c r="B2229" s="2" t="inlineStr">
        <is>
          <t>Home MW MA06/G+ hálózati adapter, 600 mA áramfelvételig, ideális 3-12 V-os készülékekhez, szabályozható feszültség, LED visszajelző, fix csatlakozó</t>
        </is>
      </c>
      <c r="C2229" s="1" t="n">
        <v>1990.0</v>
      </c>
      <c r="D2229" s="7" t="n">
        <f>HYPERLINK("https://www.somogyi.hu/product/home-mw-ma06-g-halozati-adapter-600-ma-aramfelvetelig-idealis-3-12-v-os-keszulekekhez-szabalyozhato-feszultseg-led-visszajelzo-fix-csatlakozo-mw-ma06-g-16794","https://www.somogyi.hu/product/home-mw-ma06-g-halozati-adapter-600-ma-aramfelvetelig-idealis-3-12-v-os-keszulekekhez-szabalyozhato-feszultseg-led-visszajelzo-fix-csatlakozo-mw-ma06-g-16794")</f>
        <v>0.0</v>
      </c>
      <c r="E2229" s="7" t="n">
        <f>HYPERLINK("https://www.somogyi.hu/data/img/product_main_images/small/16794.jpg","https://www.somogyi.hu/data/img/product_main_images/small/16794.jpg")</f>
        <v>0.0</v>
      </c>
      <c r="F2229" s="2" t="inlineStr">
        <is>
          <t>5999084948269</t>
        </is>
      </c>
      <c r="G2229" s="4" t="inlineStr">
        <is>
          <t xml:space="preserve"> • ideális 3-12 V-os készülékekhez 600 mA áramfelvételig 
 • fix 2,5x5,5 mm csatlakozóval 
 • szabályozható feszültség: 3 V – 4,5 V – 5 V – 6 V – 7,5 V – 9 V – 12 V 
 • LED visszajelző</t>
        </is>
      </c>
    </row>
    <row r="2230">
      <c r="A2230" s="3" t="inlineStr">
        <is>
          <t>MW MB10N</t>
        </is>
      </c>
      <c r="B2230" s="2" t="inlineStr">
        <is>
          <t>Home MW MB10N hálózati adapter, 3 - 12 V, 2000 - 1000 mA áramfelvétel, LED visszajelző, polaritás állítás, 6 db csatlakozó, EuP</t>
        </is>
      </c>
      <c r="C2230" s="1" t="n">
        <v>5790.0</v>
      </c>
      <c r="D2230" s="7" t="n">
        <f>HYPERLINK("https://www.somogyi.hu/product/home-mw-mb10n-halozati-adapter-3-12-v-2000-1000-ma-aramfelvetel-led-visszajelzo-polaritas-allitas-6-db-csatlakozo-eup-mw-mb10n-18287","https://www.somogyi.hu/product/home-mw-mb10n-halozati-adapter-3-12-v-2000-1000-ma-aramfelvetel-led-visszajelzo-polaritas-allitas-6-db-csatlakozo-eup-mw-mb10n-18287")</f>
        <v>0.0</v>
      </c>
      <c r="E2230" s="7" t="n">
        <f>HYPERLINK("https://www.somogyi.hu/data/img/product_main_images/small/18287.jpg","https://www.somogyi.hu/data/img/product_main_images/small/18287.jpg")</f>
        <v>0.0</v>
      </c>
      <c r="F2230" s="2" t="inlineStr">
        <is>
          <t>5999084963095</t>
        </is>
      </c>
      <c r="G2230" s="4" t="inlineStr">
        <is>
          <t>Az MW MB10N hálózati adapter 3-12 V DC, 2000-1000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31">
      <c r="A2231" s="3" t="inlineStr">
        <is>
          <t>MW MA06N</t>
        </is>
      </c>
      <c r="B2231" s="2" t="inlineStr">
        <is>
          <t>Hálózati adapter, 3-12 V DC</t>
        </is>
      </c>
      <c r="C2231" s="1" t="n">
        <v>4790.0</v>
      </c>
      <c r="D2231" s="7" t="n">
        <f>HYPERLINK("https://www.somogyi.hu/product/halozati-adapter-3-12-v-dc-mw-ma06n-18286","https://www.somogyi.hu/product/halozati-adapter-3-12-v-dc-mw-ma06n-18286")</f>
        <v>0.0</v>
      </c>
      <c r="E2231" s="7" t="n">
        <f>HYPERLINK("https://www.somogyi.hu/data/img/product_main_images/small/18286.jpg","https://www.somogyi.hu/data/img/product_main_images/small/18286.jpg")</f>
        <v>0.0</v>
      </c>
      <c r="F2231" s="2" t="inlineStr">
        <is>
          <t>5999084963088</t>
        </is>
      </c>
      <c r="G2231" s="4" t="inlineStr">
        <is>
          <t>Az MW MA06N Hálózati adapter 3-12 V DC, 1000-600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32">
      <c r="A2232" s="3" t="inlineStr">
        <is>
          <t>CNE-CCA033W</t>
        </is>
      </c>
      <c r="B2232" s="2" t="inlineStr">
        <is>
          <t>Autós töltő</t>
        </is>
      </c>
      <c r="C2232" s="1" t="n">
        <v>1750.0</v>
      </c>
      <c r="D2232" s="7" t="n">
        <f>HYPERLINK("https://www.somogyi.hu/product/autos-tolto-cne-cca033w-18074","https://www.somogyi.hu/product/autos-tolto-cne-cca033w-18074")</f>
        <v>0.0</v>
      </c>
      <c r="E2232" s="7" t="n">
        <f>HYPERLINK("https://www.somogyi.hu/data/img/product_main_images/small/18074.jpg","https://www.somogyi.hu/data/img/product_main_images/small/18074.jpg")</f>
        <v>0.0</v>
      </c>
      <c r="F2232" s="2" t="inlineStr">
        <is>
          <t>5291485005856</t>
        </is>
      </c>
      <c r="G2232" s="4" t="inlineStr">
        <is>
          <t xml:space="preserve"> • kimenőfeszültség: 5V/2,4A 
 • bemenőfeszültség: 12-24 V 
 • csatlakozókészlet / kimeneti aljzat: 1xUSB 2,4A / 1 db beépített, 1,2 m-es "LIGHTNING" kábel</t>
        </is>
      </c>
    </row>
    <row r="2233">
      <c r="A2233" s="3" t="inlineStr">
        <is>
          <t>MW MD25</t>
        </is>
      </c>
      <c r="B2233" s="2" t="inlineStr">
        <is>
          <t>Home MW MD25 hálózati adapter, 2250 mA áramfelvételig, 3-12 V DC, LED visszajelző, polaritás-állítás, 6 db-os csatlakozókészlet</t>
        </is>
      </c>
      <c r="C2233" s="1" t="n">
        <v>9490.0</v>
      </c>
      <c r="D2233" s="7" t="n">
        <f>HYPERLINK("https://www.somogyi.hu/product/home-mw-md25-halozati-adapter-2250-ma-aramfelvetelig-3-12-v-dc-led-visszajelzo-polaritas-allitas-6-db-os-csatlakozokeszlet-mw-md25-16782","https://www.somogyi.hu/product/home-mw-md25-halozati-adapter-2250-ma-aramfelvetelig-3-12-v-dc-led-visszajelzo-polaritas-allitas-6-db-os-csatlakozokeszlet-mw-md25-16782")</f>
        <v>0.0</v>
      </c>
      <c r="E2233" s="7" t="n">
        <f>HYPERLINK("https://www.somogyi.hu/data/img/product_main_images/small/16782.jpg","https://www.somogyi.hu/data/img/product_main_images/small/16782.jpg")</f>
        <v>0.0</v>
      </c>
      <c r="F2233" s="2" t="inlineStr">
        <is>
          <t>5999084948146</t>
        </is>
      </c>
      <c r="G2233" s="4" t="inlineStr">
        <is>
          <t>Az MW MD 25 Hálózati adapter 3-12 V DC, 2250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34">
      <c r="A2234" s="3" t="inlineStr">
        <is>
          <t>NBC 65W</t>
        </is>
      </c>
      <c r="B2234" s="2" t="inlineStr">
        <is>
          <t xml:space="preserve">Home NBC 65W univerzális USB-C gyorstöltő, maximális terhelhetőség 65 Watt,  GaN technológia, hagyományos és PD eszközökhöz </t>
        </is>
      </c>
      <c r="C2234" s="1" t="n">
        <v>6090.0</v>
      </c>
      <c r="D2234" s="7" t="n">
        <f>HYPERLINK("https://www.somogyi.hu/product/home-nbc-65w-univerzalis-usb-c-gyorstolto-maximalis-terhelhetoseg-65-watt-gan-technologia-hagyomanyos-es-pd-eszkozokhoz-nbc-65w-18198","https://www.somogyi.hu/product/home-nbc-65w-univerzalis-usb-c-gyorstolto-maximalis-terhelhetoseg-65-watt-gan-technologia-hagyomanyos-es-pd-eszkozokhoz-nbc-65w-18198")</f>
        <v>0.0</v>
      </c>
      <c r="E2234" s="7" t="n">
        <f>HYPERLINK("https://www.somogyi.hu/data/img/product_main_images/small/18198.jpg","https://www.somogyi.hu/data/img/product_main_images/small/18198.jpg")</f>
        <v>0.0</v>
      </c>
      <c r="F2234" s="2" t="inlineStr">
        <is>
          <t>5999084962203</t>
        </is>
      </c>
      <c r="G2234" s="4" t="inlineStr">
        <is>
          <t>Ön is gyors és hatékony töltési megoldást keres notebookjához, mobiltelefonjához, vagy más hordozható eszközéhez? A Home NBC 65W univerzális USB-C gyorstöltő minden igényét kielégíti.
Ez a modern töltő eszköz a legújabb GaN (gallium-nitrid) technológiát használja, amely lehetővé teszi, hogy kisebb méretű legyen, miközben hatékonyabban és gyorsabban tölt, mint a hagyományos töltők. A 65 wattos maximális terhelhetőség biztosítja, hogy akár a legújabb generációs notebookokat és egyéb készülékeket is gyorsan és biztonságosan töltheti.
A töltő univerzális kompatibilitása lehetővé teszi, hogy széles körű „PD” (Power Delivery) és hagyományos USB-eszközökkel is használható legyen. A mellékelt hosszú, körülbelül 1,7 méteres csatlakozókábel extra kényelmet biztosít, így nem kell kompromisszumot kötnie az elérhetőség terén, legyen szó akár otthoni, akár munkahelyi használatról.
Az USB-C kimenet (PD65W) többféle feszültségi szintet támogat, így a legtöbb modern eszköz igényeinek megfelel: 5 V / 3 A, 9 V / 3 A, 12 V / 3 A, 15 V / 3 A, 20 V / 3,25 A, ezzel biztosítva a gyors és hatékony töltést.
Válassza a Home NBC 65W univerzális USB-C gyorstöltőt, hogy eszközei mindig az optimális teljesítményt nyújtsák, és soha ne maradjon lemerült akkumulátorral. Szerezze be ezt a kiváló minőségű, modern technológiájú töltőt, és élvezze a gyors, megbízható töltés előnyeit!</t>
        </is>
      </c>
    </row>
    <row r="2235">
      <c r="A2235" s="3" t="inlineStr">
        <is>
          <t>MW 2P100</t>
        </is>
      </c>
      <c r="B2235" s="2" t="inlineStr">
        <is>
          <t>Home MW 2P100 feszültségkonverter, max. 100 W terhelhetőség, 110 V-os hálózatra gyártott készülékek hazai üzemeltetéséhez</t>
        </is>
      </c>
      <c r="C2235" s="1" t="n">
        <v>12690.0</v>
      </c>
      <c r="D2235" s="7" t="n">
        <f>HYPERLINK("https://www.somogyi.hu/product/home-mw-2p100-feszultsegkonverter-max-100-w-terhelhetoseg-110-v-os-halozatra-gyartott-keszulekek-hazai-uzemeltetesehez-mw-2p100-4685","https://www.somogyi.hu/product/home-mw-2p100-feszultsegkonverter-max-100-w-terhelhetoseg-110-v-os-halozatra-gyartott-keszulekek-hazai-uzemeltetesehez-mw-2p100-4685")</f>
        <v>0.0</v>
      </c>
      <c r="E2235" s="7" t="n">
        <f>HYPERLINK("https://www.somogyi.hu/data/img/product_main_images/small/04685.jpg","https://www.somogyi.hu/data/img/product_main_images/small/04685.jpg")</f>
        <v>0.0</v>
      </c>
      <c r="F2235" s="2" t="inlineStr">
        <is>
          <t>5998312741313</t>
        </is>
      </c>
      <c r="G2235" s="4" t="inlineStr">
        <is>
          <t>Vásároljon egy megbízható hálózati adaptert! A termék 110 V-os kimenetű készülékek hazai üzemeltetésre alkalmas. 
Maximális terhelhetősége: 100 W. Az adapter asztali kivitelű, továbbá alkalmas az amerikai játékokhoz is. Válassza a minőségi termékeket és rendeljen webáruházunkból.</t>
        </is>
      </c>
    </row>
    <row r="2236">
      <c r="A2236" s="3" t="inlineStr">
        <is>
          <t>MW MC15N</t>
        </is>
      </c>
      <c r="B2236" s="2" t="inlineStr">
        <is>
          <t>Hálózati adapter, 3-12 V DC</t>
        </is>
      </c>
      <c r="C2236" s="1" t="n">
        <v>6990.0</v>
      </c>
      <c r="D2236" s="7" t="n">
        <f>HYPERLINK("https://www.somogyi.hu/product/halozati-adapter-3-12-v-dc-mw-mc15n-18288","https://www.somogyi.hu/product/halozati-adapter-3-12-v-dc-mw-mc15n-18288")</f>
        <v>0.0</v>
      </c>
      <c r="E2236" s="7" t="n">
        <f>HYPERLINK("https://www.somogyi.hu/data/img/product_main_images/small/18288.jpg","https://www.somogyi.hu/data/img/product_main_images/small/18288.jpg")</f>
        <v>0.0</v>
      </c>
      <c r="F2236" s="2" t="inlineStr">
        <is>
          <t>5999084963101</t>
        </is>
      </c>
      <c r="G2236" s="4" t="inlineStr">
        <is>
          <t>Az MW MC15N Hálózati adapter 3-12 V DC, 2100-1500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37">
      <c r="A2237" s="3" t="inlineStr">
        <is>
          <t>NA 12P200</t>
        </is>
      </c>
      <c r="B2237" s="2" t="inlineStr">
        <is>
          <t>Home NA 12P200 hálózati adapter, kapcsoló üzemű, 12 V egyenáramú készülékekhez max.2000mAáramfelvételig, 140 cm csatlakozóvezeték</t>
        </is>
      </c>
      <c r="C2237" s="1" t="n">
        <v>3790.0</v>
      </c>
      <c r="D2237" s="7" t="n">
        <f>HYPERLINK("https://www.somogyi.hu/product/home-na-12p200-halozati-adapter-kapcsolo-uzemu-12-v-egyenaramu-keszulekekhez-max-2000maaramfelvetelig-140-cm-csatlakozovezetek-na-12p200-15432","https://www.somogyi.hu/product/home-na-12p200-halozati-adapter-kapcsolo-uzemu-12-v-egyenaramu-keszulekekhez-max-2000maaramfelvetelig-140-cm-csatlakozovezetek-na-12p200-15432")</f>
        <v>0.0</v>
      </c>
      <c r="E2237" s="7" t="n">
        <f>HYPERLINK("https://www.somogyi.hu/data/img/product_main_images/small/15432.jpg","https://www.somogyi.hu/data/img/product_main_images/small/15432.jpg")</f>
        <v>0.0</v>
      </c>
      <c r="F2237" s="2" t="inlineStr">
        <is>
          <t>5999084934668</t>
        </is>
      </c>
      <c r="G2237" s="4" t="inlineStr">
        <is>
          <t>Válassza Ön is kapcsoló üzemű adapterünket! Ideális bármilyen 12 V egyenáramú készülékhez, max. 2000 mA áramfelvételig. Csatlakozóvezetékének hossza 115 cm. Válassza a minőségi termékeket és rendeljen webáruházunkból!</t>
        </is>
      </c>
    </row>
    <row r="2238">
      <c r="A2238" s="6" t="inlineStr">
        <is>
          <t xml:space="preserve">   Utazóadapter / q2power utazóadapter</t>
        </is>
      </c>
      <c r="B2238" s="6" t="inlineStr">
        <is>
          <t/>
        </is>
      </c>
      <c r="C2238" s="6" t="inlineStr">
        <is>
          <t/>
        </is>
      </c>
      <c r="D2238" s="6" t="inlineStr">
        <is>
          <t/>
        </is>
      </c>
      <c r="E2238" s="6" t="inlineStr">
        <is>
          <t/>
        </is>
      </c>
      <c r="F2238" s="6" t="inlineStr">
        <is>
          <t/>
        </is>
      </c>
      <c r="G2238" s="6" t="inlineStr">
        <is>
          <t/>
        </is>
      </c>
    </row>
    <row r="2239">
      <c r="A2239" s="3" t="inlineStr">
        <is>
          <t>1.100100-TH</t>
        </is>
      </c>
      <c r="B2239" s="2" t="inlineStr">
        <is>
          <t>Q2POWER 1.100100-TH utazóadapter, World to Europe, bemeneti feszültség: 100-250 V, 16 A, teljesítmény: 100V-1600W/250V-4000W</t>
        </is>
      </c>
      <c r="C2239" s="1" t="n">
        <v>4090.0</v>
      </c>
      <c r="D2239" s="7" t="n">
        <f>HYPERLINK("https://www.somogyi.hu/product/q2power-1-100100-th-utazoadapter-world-to-europe-bemeneti-feszultseg-100-250-v-16-a-teljesitmeny-100v-1600w-250v-4000w-1-100100-th-17699","https://www.somogyi.hu/product/q2power-1-100100-th-utazoadapter-world-to-europe-bemeneti-feszultseg-100-250-v-16-a-teljesitmeny-100v-1600w-250v-4000w-1-100100-th-17699")</f>
        <v>0.0</v>
      </c>
      <c r="E2239" s="7" t="n">
        <f>HYPERLINK("https://www.somogyi.hu/data/img/product_main_images/small/17699.jpg","https://www.somogyi.hu/data/img/product_main_images/small/17699.jpg")</f>
        <v>0.0</v>
      </c>
      <c r="F2239" s="2" t="inlineStr">
        <is>
          <t>7640166325406</t>
        </is>
      </c>
      <c r="G2239" s="4" t="inlineStr">
        <is>
          <t>A Q2 Power 1.100100-TH Utazóadapter megbízható és esztétikus kivitelben készült. Ha külföldre utazik, ne feledkezzen meg a megfelelő utazóadapter beszerzéséről, hogy elektromos készülékeit tölteni tudja. 
Az átalakító kimeneti aljzata AUS/CHINA, IT, UK, CH, BRAZIL, USA szabványú.
Bemeneti csatlakozódugó EUR szabványú. 
Teljesítménye 100 V- 1600 W/ 250 V- 4000 W. Maximum 16 A-ig terhelhető.
A prémium minőségű Q2 POWER termékek hosszú távú és megbízható használatot biztosítanak.</t>
        </is>
      </c>
    </row>
    <row r="2240">
      <c r="A2240" s="3" t="inlineStr">
        <is>
          <t>1.100150</t>
        </is>
      </c>
      <c r="B2240" s="2" t="inlineStr">
        <is>
          <t>Q2POWER 1.100150 utazóadapter, World to USA USB, indulási ország: AUS/CHINA, IT, UK, CH, BRAZIL, USA, EURO, célország: USA, USB port</t>
        </is>
      </c>
      <c r="C2240" s="1" t="n">
        <v>2190.0</v>
      </c>
      <c r="D2240" s="7" t="n">
        <f>HYPERLINK("https://www.somogyi.hu/product/q2power-1-100150-utazoadapter-world-to-usa-usb-indulasi-orszag-aus-china-it-uk-ch-brazil-usa-euro-celorszag-usa-usb-port-1-100150-15926","https://www.somogyi.hu/product/q2power-1-100150-utazoadapter-world-to-usa-usb-indulasi-orszag-aus-china-it-uk-ch-brazil-usa-euro-celorszag-usa-usb-port-1-100150-15926")</f>
        <v>0.0</v>
      </c>
      <c r="E2240" s="7" t="n">
        <f>HYPERLINK("https://www.somogyi.hu/data/img/product_main_images/small/15926.jpg","https://www.somogyi.hu/data/img/product_main_images/small/15926.jpg")</f>
        <v>0.0</v>
      </c>
      <c r="F2240" s="2" t="inlineStr">
        <is>
          <t>7640167560066</t>
        </is>
      </c>
      <c r="G2240" s="4" t="inlineStr">
        <is>
          <t>A Q2 POWER 1.100150 World to USA USB Utazóadapter megbízható és esztétikus kivitelben készült. Ha az Egyesült Államokba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USA. 
Teljesítménye 100 V- 1500 W/ 250 V- 3750 W. Maximum 15 A-ig terhelhető. 
Prémium termékek a nagy utazóknak!</t>
        </is>
      </c>
    </row>
    <row r="2241">
      <c r="A2241" s="3" t="inlineStr">
        <is>
          <t>1.200100</t>
        </is>
      </c>
      <c r="B2241" s="2" t="inlineStr">
        <is>
          <t>Q2 power Utazóadapter "Europe to UK"</t>
        </is>
      </c>
      <c r="C2241" s="1" t="n">
        <v>3490.0</v>
      </c>
      <c r="D2241" s="7" t="n">
        <f>HYPERLINK("https://www.somogyi.hu/product/q2-power-utazoadapter-europe-to-uk-1-200100-15930","https://www.somogyi.hu/product/q2-power-utazoadapter-europe-to-uk-1-200100-15930")</f>
        <v>0.0</v>
      </c>
      <c r="E2241" s="7" t="n">
        <f>HYPERLINK("https://www.somogyi.hu/data/img/product_main_images/small/15930.jpg","https://www.somogyi.hu/data/img/product_main_images/small/15930.jpg")</f>
        <v>0.0</v>
      </c>
      <c r="F2241" s="2" t="inlineStr">
        <is>
          <t>7640167560325</t>
        </is>
      </c>
      <c r="G2241" s="4" t="inlineStr">
        <is>
          <t>A Q2 POWER 1.200100 Europe to UK Utazóadapter megbízható és esztétikus kivitelben készült. Ha Angliába utazik, ne feledkezzen meg a megfelelő utazóadapter beszerzéséről, hogy elektromos készülékeit tölteni tudja.
Az átalakító kimeneti aljzata EUROPE szabványú.
Célország szabványa: UK. 
Teljesítménye 100 V- 1300 W/ 250 V- 3250 W. Maximum 13 A-ig terhelhető. 
Prémium termékek a nagy utazóknak!</t>
        </is>
      </c>
    </row>
    <row r="2242">
      <c r="A2242" s="3" t="inlineStr">
        <is>
          <t>1.100220</t>
        </is>
      </c>
      <c r="B2242" s="2" t="inlineStr">
        <is>
          <t>Q2POWER 1.100220 utazóadapter, World to South Africa, indulási ország: AUS/CHINA, IT, UK, CH, BRAZIL, USA, EURO, célország: ZA</t>
        </is>
      </c>
      <c r="C2242" s="1" t="n">
        <v>989.0</v>
      </c>
      <c r="D2242" s="7" t="n">
        <f>HYPERLINK("https://www.somogyi.hu/product/q2power-1-100220-utazoadapter-world-to-south-africa-indulasi-orszag-aus-china-it-uk-ch-brazil-usa-euro-celorszag-za-1-100220-15956","https://www.somogyi.hu/product/q2power-1-100220-utazoadapter-world-to-south-africa-indulasi-orszag-aus-china-it-uk-ch-brazil-usa-euro-celorszag-za-1-100220-15956")</f>
        <v>0.0</v>
      </c>
      <c r="E2242" s="7" t="n">
        <f>HYPERLINK("https://www.somogyi.hu/data/img/product_main_images/small/15956.jpg","https://www.somogyi.hu/data/img/product_main_images/small/15956.jpg")</f>
        <v>0.0</v>
      </c>
      <c r="F2242" s="2" t="inlineStr">
        <is>
          <t>7640167560523</t>
        </is>
      </c>
      <c r="G2242" s="4" t="inlineStr">
        <is>
          <t>A Q2 POWER 1.100220 World to South Africa Utazóadapter megbízható és esztétikus kivitelben készült. Ha Dél- Afrikába utazik, ne feledkezzen meg a megfelelő utazóadapter beszerzéséről, hogy elektromos készülékeit tölteni tudja. 
Az átalakító kimeneti aljzata AUS/CHINA, IT, UK, CH, BRAZIL, USA, EURO (csak földeletlen) szabványú.
Célország szabványa: ZA. 
Teljesítménye 100 V- 1600 W/ 250 V- 4000 W. Maximum 16 A-ig terhelhető. 
Prémium termékek a nagy utazóknak!</t>
        </is>
      </c>
    </row>
    <row r="2243">
      <c r="A2243" s="3" t="inlineStr">
        <is>
          <t>1.100110-TH</t>
        </is>
      </c>
      <c r="B2243" s="2" t="inlineStr">
        <is>
          <t>q2power 1.100110-TH utazóadapter, World to Europe USB, USB 5V 2.4A, max. 16 A, 250 V - 4000 W teljesítmény</t>
        </is>
      </c>
      <c r="C2243" s="1" t="n">
        <v>8290.0</v>
      </c>
      <c r="D2243" s="7" t="n">
        <f>HYPERLINK("https://www.somogyi.hu/product/q2power-1-100110-th-utazoadapter-world-to-europe-usb-usb-5v-2-4a-max-16-a-250-v-4000-w-teljesitmeny-1-100110-th-18578","https://www.somogyi.hu/product/q2power-1-100110-th-utazoadapter-world-to-europe-usb-usb-5v-2-4a-max-16-a-250-v-4000-w-teljesitmeny-1-100110-th-18578")</f>
        <v>0.0</v>
      </c>
      <c r="E2243" s="7" t="n">
        <f>HYPERLINK("https://www.somogyi.hu/data/img/product_main_images/small/18578.jpg","https://www.somogyi.hu/data/img/product_main_images/small/18578.jpg")</f>
        <v>0.0</v>
      </c>
      <c r="F2243" s="2" t="inlineStr">
        <is>
          <t>7640166327387</t>
        </is>
      </c>
      <c r="G2243" s="4" t="inlineStr">
        <is>
          <t>Európába utazik és nem akar bajlódni a töltők és adapterek sokaságával? A q2power 1.100110-TH utazóadapter a megoldás.
Ez az innovatív adapter lehetővé teszi, hogy az AUS/CHINA, IT, UK, CH, BRAZIL, USA, EURO (csak földeletlen) szabványú csatlakozókat a GS szabvány szerinti európai aljzatokba csatlakoztassa. Az extra USB csatlakozóval egyszerűen töltheti mobil eszközeit anélkül, hogy külön töltőre lenne szüksége.
A 100-250 V-os bemeneti feszültség és a maximális 16 A-os terhelhetőség biztosítja, hogy készülékei biztonságosan töltődjenek, akár 4000 W teljesítménynél is.
A kis méret és a könnyű használat azt jelenti, hogy ez az adapter a tökéletes társ minden utazáshoz. Ne hagyja otthon a q2power utazóadaptert a következő európai útja során!</t>
        </is>
      </c>
    </row>
    <row r="2244">
      <c r="A2244" s="3" t="inlineStr">
        <is>
          <t>1.200100-TH</t>
        </is>
      </c>
      <c r="B2244" s="2" t="inlineStr">
        <is>
          <t>Q2POWER 1.200100-TH utazóadapter, Europe to UK, bemeneti feszültség: 100-250 V, 7 A, teljesítmény:100V-700W/250V-1750W</t>
        </is>
      </c>
      <c r="C2244" s="1" t="n">
        <v>3590.0</v>
      </c>
      <c r="D2244" s="7" t="n">
        <f>HYPERLINK("https://www.somogyi.hu/product/q2power-1-200100-th-utazoadapter-europe-to-uk-bemeneti-feszultseg-100-250-v-7-a-teljesitmeny-100v-700w-250v-1750w-1-200100-th-18115","https://www.somogyi.hu/product/q2power-1-200100-th-utazoadapter-europe-to-uk-bemeneti-feszultseg-100-250-v-7-a-teljesitmeny-100v-700w-250v-1750w-1-200100-th-18115")</f>
        <v>0.0</v>
      </c>
      <c r="E2244" s="7" t="n">
        <f>HYPERLINK("https://www.somogyi.hu/data/img/product_main_images/small/18115.jpg","https://www.somogyi.hu/data/img/product_main_images/small/18115.jpg")</f>
        <v>0.0</v>
      </c>
      <c r="F2244" s="2" t="inlineStr">
        <is>
          <t>7640166327363</t>
        </is>
      </c>
      <c r="G2244" s="4" t="inlineStr">
        <is>
          <t xml:space="preserve"> • földelt készülékekhez: igen 
 • bemeneti csatlakozódugó: UK 
 • kimeneti aljzat: EURO 
 • névleges feszültség: 100 V - 250 V 
 • névleges áram: 7 A 
 • névleges teljesítmény: 100 V - 700 W / 250 V - 1750 W</t>
        </is>
      </c>
    </row>
    <row r="2245">
      <c r="A2245" s="3" t="inlineStr">
        <is>
          <t>1.200110</t>
        </is>
      </c>
      <c r="B2245" s="2" t="inlineStr">
        <is>
          <t>Q2POWER 1.200110 utazóadapter, Europe to USA, indulási ország: EUROPE, célország: USA</t>
        </is>
      </c>
      <c r="C2245" s="1" t="n">
        <v>3590.0</v>
      </c>
      <c r="D2245" s="7" t="n">
        <f>HYPERLINK("https://www.somogyi.hu/product/q2power-1-200110-utazoadapter-europe-to-usa-indulasi-orszag-europe-celorszag-usa-1-200110-15931","https://www.somogyi.hu/product/q2power-1-200110-utazoadapter-europe-to-usa-indulasi-orszag-europe-celorszag-usa-1-200110-15931")</f>
        <v>0.0</v>
      </c>
      <c r="E2245" s="7" t="n">
        <f>HYPERLINK("https://www.somogyi.hu/data/img/product_main_images/small/15931.jpg","https://www.somogyi.hu/data/img/product_main_images/small/15931.jpg")</f>
        <v>0.0</v>
      </c>
      <c r="F2245" s="2" t="inlineStr">
        <is>
          <t>7640167560332</t>
        </is>
      </c>
      <c r="G2245" s="4" t="inlineStr">
        <is>
          <t>A Q2 POWER 1.200110 Europe to USA Utazóadapter megbízható és esztétikus kivitelben készült. Ha az Egyesült Államokba utazik, ne feledkezzen meg a megfelelő utazóadapter beszerzéséről, hogy elektromos készülékeit tölteni tudja. 
Az átalakító kimeneti aljzata EUROPE szabványú.
Célország szabványa: USA. 
Teljesítménye 100 V- 1500 W/ 250 V- 3750 W. Maximum 15 A-ig terhelhető. 
Prémium termékek a nagy utazóknak!</t>
        </is>
      </c>
    </row>
    <row r="2246">
      <c r="A2246" s="3" t="inlineStr">
        <is>
          <t>1.100170</t>
        </is>
      </c>
      <c r="B2246" s="2" t="inlineStr">
        <is>
          <t>Q2POWER 1.100170 utazóadapter, World to Australia USB, indulási ország: AUS/CHINA, IT, UK, CH, BRAZIL, USA, EURO, célország: AUS/CHI, USB port</t>
        </is>
      </c>
      <c r="C2246" s="1" t="n">
        <v>2190.0</v>
      </c>
      <c r="D2246" s="7" t="n">
        <f>HYPERLINK("https://www.somogyi.hu/product/q2power-1-100170-utazoadapter-world-to-australia-usb-indulasi-orszag-aus-china-it-uk-ch-brazil-usa-euro-celorszag-aus-chi-usb-port-1-100170-15927","https://www.somogyi.hu/product/q2power-1-100170-utazoadapter-world-to-australia-usb-indulasi-orszag-aus-china-it-uk-ch-brazil-usa-euro-celorszag-aus-chi-usb-port-1-100170-15927")</f>
        <v>0.0</v>
      </c>
      <c r="E2246" s="7" t="n">
        <f>HYPERLINK("https://www.somogyi.hu/data/img/product_main_images/small/15927.jpg","https://www.somogyi.hu/data/img/product_main_images/small/15927.jpg")</f>
        <v>0.0</v>
      </c>
      <c r="F2246" s="2" t="inlineStr">
        <is>
          <t>7640167560080</t>
        </is>
      </c>
      <c r="G2246" s="4" t="inlineStr">
        <is>
          <t>A Q2 POWER 1.100170 World to Australia/China USB Utazóadapter megbízható és esztétikus kivitelben készült. Ha Ausztráliába vagy Kínába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AUS/CHI. 
Teljesítménye 100 V- 1000 W/ 250 V- 2500 W. Maximum 10 A-ig terhelhető. 
Prémium termékek a nagy utazóknak!</t>
        </is>
      </c>
    </row>
    <row r="2247">
      <c r="A2247" s="3" t="inlineStr">
        <is>
          <t>1.100140</t>
        </is>
      </c>
      <c r="B2247" s="2" t="inlineStr">
        <is>
          <t>Q2POWER 1.100140 utazóadapter, World to USA, bemeneti feszültség: 100 - 250 V, 15 A, teljesítmény:100V-1500W/250V-3750W</t>
        </is>
      </c>
      <c r="C2247" s="1" t="n">
        <v>1590.0</v>
      </c>
      <c r="D2247" s="7" t="n">
        <f>HYPERLINK("https://www.somogyi.hu/product/q2power-1-100140-utazoadapter-world-to-usa-bemeneti-feszultseg-100-250-v-15-a-teljesitmeny-100v-1500w-250v-3750w-1-100140-15920","https://www.somogyi.hu/product/q2power-1-100140-utazoadapter-world-to-usa-bemeneti-feszultseg-100-250-v-15-a-teljesitmeny-100v-1500w-250v-3750w-1-100140-15920")</f>
        <v>0.0</v>
      </c>
      <c r="E2247" s="7" t="n">
        <f>HYPERLINK("https://www.somogyi.hu/data/img/product_main_images/small/15920.jpg","https://www.somogyi.hu/data/img/product_main_images/small/15920.jpg")</f>
        <v>0.0</v>
      </c>
      <c r="F2247" s="2" t="inlineStr">
        <is>
          <t>7640167560059</t>
        </is>
      </c>
      <c r="G2247" s="4" t="inlineStr">
        <is>
          <t>A Q2 POWER 1.100140 World to USA Utazóadapter megbízható és esztétikus kivitelben készült. Ha az Egyesült Államokba utazik, ne feledkezzen meg a megfelelő utazóadapter beszerzéséről, hogy elektromos készülékeit tölteni tudja.
Az átalakító kimeneti aljzata AUS/CHINA, IT, UK, CH, BRAZIL, USA, EURO (csak földeletlen) szabványú.
Célország szabványa: USA. 
Teljesítménye 100 V- 1500 W/ 250 V- 3750 W. Maximum 15 A-ig terhelhető. 
Prémium termékek a nagy utazóknak!</t>
        </is>
      </c>
    </row>
    <row r="2248">
      <c r="A2248" s="3" t="inlineStr">
        <is>
          <t>1.100210</t>
        </is>
      </c>
      <c r="B2248" s="2" t="inlineStr">
        <is>
          <t>Q2POWER 1.100210 utazóadapter, World to Switzerland USB, indulási ország: AUS/CHINA, IT, UK, CH, BRAZIL, USA, EURO, célország: CH, USB port</t>
        </is>
      </c>
      <c r="C2248" s="1" t="n">
        <v>2190.0</v>
      </c>
      <c r="D2248" s="7" t="n">
        <f>HYPERLINK("https://www.somogyi.hu/product/q2power-1-100210-utazoadapter-world-to-switzerland-usb-indulasi-orszag-aus-china-it-uk-ch-brazil-usa-euro-celorszag-ch-usb-port-1-100210-15929","https://www.somogyi.hu/product/q2power-1-100210-utazoadapter-world-to-switzerland-usb-indulasi-orszag-aus-china-it-uk-ch-brazil-usa-euro-celorszag-ch-usb-port-1-100210-15929")</f>
        <v>0.0</v>
      </c>
      <c r="E2248" s="7" t="n">
        <f>HYPERLINK("https://www.somogyi.hu/data/img/product_main_images/small/15929.jpg","https://www.somogyi.hu/data/img/product_main_images/small/15929.jpg")</f>
        <v>0.0</v>
      </c>
      <c r="F2248" s="2" t="inlineStr">
        <is>
          <t>7640167560127</t>
        </is>
      </c>
      <c r="G2248" s="4" t="inlineStr">
        <is>
          <t>A Q2 POWER 1.100210 World to Switzerland USB Utazóadapter megbízható és esztétikus kivitelben készült. Ha Svájcba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CH. 
Teljesítménye 100 V- 1000 W/ 250 V- 2500 W. Maximum 10 A-ig terhelhető. 
Prémium termékek a nagy utazóknak!</t>
        </is>
      </c>
    </row>
    <row r="2249">
      <c r="A2249" s="3" t="inlineStr">
        <is>
          <t>1.100190</t>
        </is>
      </c>
      <c r="B2249" s="2" t="inlineStr">
        <is>
          <t>Q2POWER 1.100190 utazóadapter, World to Italy USB, indulási ország: AUS/CHINA, IT, UK, CH, BRAZIL, USA, EURO, célország: IT, USB port</t>
        </is>
      </c>
      <c r="C2249" s="1" t="n">
        <v>2190.0</v>
      </c>
      <c r="D2249" s="7" t="n">
        <f>HYPERLINK("https://www.somogyi.hu/product/q2power-1-100190-utazoadapter-world-to-italy-usb-indulasi-orszag-aus-china-it-uk-ch-brazil-usa-euro-celorszag-it-usb-port-1-100190-15928","https://www.somogyi.hu/product/q2power-1-100190-utazoadapter-world-to-italy-usb-indulasi-orszag-aus-china-it-uk-ch-brazil-usa-euro-celorszag-it-usb-port-1-100190-15928")</f>
        <v>0.0</v>
      </c>
      <c r="E2249" s="7" t="n">
        <f>HYPERLINK("https://www.somogyi.hu/data/img/product_main_images/small/15928.jpg","https://www.somogyi.hu/data/img/product_main_images/small/15928.jpg")</f>
        <v>0.0</v>
      </c>
      <c r="F2249" s="2" t="inlineStr">
        <is>
          <t>7640167560103</t>
        </is>
      </c>
      <c r="G2249" s="4" t="inlineStr">
        <is>
          <t>A Q2 POWER 1.100190 World to Italy USB Utazóadapter megbízható és esztétikus kivitelben készült. Ha Olaszországba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IT. 
Teljesítménye 100 V- 1000 W/ 250 V- 2500 W. Maximum 10 A-ig terhelhető. 
Prémium termékek a nagy utazóknak!</t>
        </is>
      </c>
    </row>
    <row r="2250">
      <c r="A2250" s="3" t="inlineStr">
        <is>
          <t>2.100130</t>
        </is>
      </c>
      <c r="B2250" s="2" t="inlineStr">
        <is>
          <t>Q2POWER 2.100130 utazóadapter, Qdapter 360 USB, két készülék a szettben: Qdapter (USB aljzattal) és World to Europe</t>
        </is>
      </c>
      <c r="C2250" s="1" t="n">
        <v>4990.0</v>
      </c>
      <c r="D2250" s="7" t="n">
        <f>HYPERLINK("https://www.somogyi.hu/product/q2power-2-100130-utazoadapter-qdapter-360-usb-ket-keszulek-a-szettben-qdapter-usb-aljzattal-es-world-to-europe-2-100130-15943","https://www.somogyi.hu/product/q2power-2-100130-utazoadapter-qdapter-360-usb-ket-keszulek-a-szettben-qdapter-usb-aljzattal-es-world-to-europe-2-100130-15943")</f>
        <v>0.0</v>
      </c>
      <c r="E2250" s="7" t="n">
        <f>HYPERLINK("https://www.somogyi.hu/data/img/product_main_images/small/15943.jpg","https://www.somogyi.hu/data/img/product_main_images/small/15943.jpg")</f>
        <v>0.0</v>
      </c>
      <c r="F2250" s="2" t="inlineStr">
        <is>
          <t>7640167560578</t>
        </is>
      </c>
      <c r="G2250" s="4" t="inlineStr">
        <is>
          <t>A Q2 POWER 2.100130 Qdapter 360 USB Utazóadapter szett megbízható és esztétikus kivitelben készült. Ha külföldre utazik, ne feledkezzen meg a megfelelő utazóadapter beszerzéséről, hogy elektromos készülékeit tölteni tudja. A Qdapter extra USB aljzattal ellátott, hogy egyszerre két készüléket is feltölthessen.
Az átalakító kimeneti aljzata AUS/CHINA, IT, UK, CH, BRAZIL, USA, EURO (földeletlen) szabványú.
Célország szabványa: Qdapter: AUS, BRAZIL, IT, CH, UK, USA; World to Europe: GS
A Qdapter 10 A-ig, a World to Europe 16 A-ig terhelhető. 
Teljesítményük: Qdapter 100 V-1000W/250 V-2500 W, World to Europe 100 V-1600 W/250 V-4000 W.
A szett 1 db USB-s Qdaptert (2.100110) és 1 db World to Europe (1.100100) adaptert tartalmaz. 
Prémium termékek a nagy utazóknak!</t>
        </is>
      </c>
    </row>
    <row r="2251">
      <c r="A2251" s="3" t="inlineStr">
        <is>
          <t>2.100110</t>
        </is>
      </c>
      <c r="B2251" s="2" t="inlineStr">
        <is>
          <t>Q2POWER 2.100110 utazóadapter, Qdapter USB, indulási ország: AUS/CHINA, IT, UK, CH, BRAZIL, USA, EURO, célország: AUS, BRAZIL, IT, CH, UK, USA</t>
        </is>
      </c>
      <c r="C2251" s="1" t="n">
        <v>4390.0</v>
      </c>
      <c r="D2251" s="7" t="n">
        <f>HYPERLINK("https://www.somogyi.hu/product/q2power-2-100110-utazoadapter-qdapter-usb-indulasi-orszag-aus-china-it-uk-ch-brazil-usa-euro-celorszag-aus-brazil-it-ch-uk-usa-2-100110-15941","https://www.somogyi.hu/product/q2power-2-100110-utazoadapter-qdapter-usb-indulasi-orszag-aus-china-it-uk-ch-brazil-usa-euro-celorszag-aus-brazil-it-ch-uk-usa-2-100110-15941")</f>
        <v>0.0</v>
      </c>
      <c r="E2251" s="7" t="n">
        <f>HYPERLINK("https://www.somogyi.hu/data/img/product_main_images/small/15941.jpg","https://www.somogyi.hu/data/img/product_main_images/small/15941.jpg")</f>
        <v>0.0</v>
      </c>
      <c r="F2251" s="2" t="inlineStr">
        <is>
          <t>7640167560400</t>
        </is>
      </c>
      <c r="G2251" s="4" t="inlineStr">
        <is>
          <t>A Q2 POWER 2.100110 Utazóadapter megbízható és esztétikus kivitelben készült. Ha külföldre utazik, ne feledkezzen meg a megfelelő utazóadapter beszerzéséről, hogy elektromos készülékeit tölteni tudja. A termék extra USB aljzattal ellátott, hogy egyszerre két készüléket is feltölthessen. 
Az átalakító kimeneti aljzata AUS/CHINA, IT, UK, CH, BRAZIL, USA, EURO  (földeletlen) szabványú.
Bemeneti csatlakozódugó AUS, IT, UK, CH, BRAZIL, USA szabványú. 
Teljesítménye 100 V- 1000 W/ 250 V- 2500 W. Maximum 10 A-ig terhelhető. 
A prémium minőségű Q2 POWER termékek hosszú távú és megbízható használatot biztosítanak.</t>
        </is>
      </c>
    </row>
    <row r="2252">
      <c r="A2252" s="3" t="inlineStr">
        <is>
          <t>1.200240</t>
        </is>
      </c>
      <c r="B2252" s="2" t="inlineStr">
        <is>
          <t>Q2POWER 1.200240 utazóadapter, France to Italy, indulási ország: FR, célország: IT</t>
        </is>
      </c>
      <c r="C2252" s="1" t="n">
        <v>1150.0</v>
      </c>
      <c r="D2252" s="7" t="n">
        <f>HYPERLINK("https://www.somogyi.hu/product/q2power-1-200240-utazoadapter-france-to-italy-indulasi-orszag-fr-celorszag-it-1-200240-15939","https://www.somogyi.hu/product/q2power-1-200240-utazoadapter-france-to-italy-indulasi-orszag-fr-celorszag-it-1-200240-15939")</f>
        <v>0.0</v>
      </c>
      <c r="E2252" s="7" t="n">
        <f>HYPERLINK("https://www.somogyi.hu/data/img/product_main_images/small/15939.jpg","https://www.somogyi.hu/data/img/product_main_images/small/15939.jpg")</f>
        <v>0.0</v>
      </c>
      <c r="F2252" s="2" t="inlineStr">
        <is>
          <t>7640167560479</t>
        </is>
      </c>
      <c r="G2252" s="4" t="inlineStr">
        <is>
          <t>A Q2 POWER 1.200240 France to Italy Utazóadapter megbízható és esztétikus kivitelben készült. Ha Olaszországba utazik, ne feledkezzen meg a megfelelő utazóadapter beszerzéséről, hogy elektromos készülékeit tölteni tudja. 
Az átalakító kimeneti aljzata FR szabványú.
Célország szabványa: IT. 
Teljesítménye 100 V- 1000 W/ 250 V- 2500 W. Maximum 10 A-ig terhelhető. 
Prémium termékek a nagy utazóknak!</t>
        </is>
      </c>
    </row>
    <row r="2253">
      <c r="A2253" s="3" t="inlineStr">
        <is>
          <t>1.200230</t>
        </is>
      </c>
      <c r="B2253" s="2" t="inlineStr">
        <is>
          <t>Q2POWER 1.200230 utazóadapter, France to Switzerland, indulási ország: FR, célország: CH</t>
        </is>
      </c>
      <c r="C2253" s="1" t="n">
        <v>1150.0</v>
      </c>
      <c r="D2253" s="7" t="n">
        <f>HYPERLINK("https://www.somogyi.hu/product/q2power-1-200230-utazoadapter-france-to-switzerland-indulasi-orszag-fr-celorszag-ch-1-200230-15938","https://www.somogyi.hu/product/q2power-1-200230-utazoadapter-france-to-switzerland-indulasi-orszag-fr-celorszag-ch-1-200230-15938")</f>
        <v>0.0</v>
      </c>
      <c r="E2253" s="7" t="n">
        <f>HYPERLINK("https://www.somogyi.hu/data/img/product_main_images/small/15938.jpg","https://www.somogyi.hu/data/img/product_main_images/small/15938.jpg")</f>
        <v>0.0</v>
      </c>
      <c r="F2253" s="2" t="inlineStr">
        <is>
          <t>7640167560486</t>
        </is>
      </c>
      <c r="G2253" s="4" t="inlineStr">
        <is>
          <t>A Q2 POWER 1.200230 France to Switzerland Utazóadapter megbízható és esztétikus kivitelben készült. Ha Svájcba utazik, ne feledkezzen meg a megfelelő utazóadapter beszerzéséről, hogy elektromos készülékeit tölteni tudja. 
Az átalakító kimeneti aljzata FR szabványú.
Célország szabványa: CH. 
Teljesítménye 100 V- 1000 W/ 250 V- 2500 W. Maximum 10 A-ig terhelhető. 
Prémium termékek a nagy utazóknak!</t>
        </is>
      </c>
    </row>
    <row r="2254">
      <c r="A2254" s="3" t="inlineStr">
        <is>
          <t>1.200220</t>
        </is>
      </c>
      <c r="B2254" s="2" t="inlineStr">
        <is>
          <t>Q2POWER 1.200220 utazóadapter, France to Australia, indulási ország: FR, célország: AUS/CHI</t>
        </is>
      </c>
      <c r="C2254" s="1" t="n">
        <v>1150.0</v>
      </c>
      <c r="D2254" s="7" t="n">
        <f>HYPERLINK("https://www.somogyi.hu/product/q2power-1-200220-utazoadapter-france-to-australia-indulasi-orszag-fr-celorszag-aus-chi-1-200220-15937","https://www.somogyi.hu/product/q2power-1-200220-utazoadapter-france-to-australia-indulasi-orszag-fr-celorszag-aus-chi-1-200220-15937")</f>
        <v>0.0</v>
      </c>
      <c r="E2254" s="7" t="n">
        <f>HYPERLINK("https://www.somogyi.hu/data/img/product_main_images/small/15937.jpg","https://www.somogyi.hu/data/img/product_main_images/small/15937.jpg")</f>
        <v>0.0</v>
      </c>
      <c r="F2254" s="2" t="inlineStr">
        <is>
          <t>7640167560462</t>
        </is>
      </c>
      <c r="G2254" s="4" t="inlineStr">
        <is>
          <t>A Q2 POWER 1.200220 France to Australia/China Utazóadapter megbízható és esztétikus kivitelben készült. Ha Ausztráliába vagy Kínába utazik, ne feledkezzen meg a megfelelő utazóadapter beszerzéséről, hogy elektromos készülékeit tölteni tudja. 
Az átalakító kimeneti aljzata FR szabványú.
Célország szabványa: AUS/CHI. 
Teljesítménye 100 V- 1000 W/ 250 V- 2500 W. Maximum 10 A-ig terhelhető. 
Prémium termékek a nagy utazóknak!</t>
        </is>
      </c>
    </row>
    <row r="2255">
      <c r="A2255" s="6" t="inlineStr">
        <is>
          <t xml:space="preserve">   Villamosság / STANLEY</t>
        </is>
      </c>
      <c r="B2255" s="6" t="inlineStr">
        <is>
          <t/>
        </is>
      </c>
      <c r="C2255" s="6" t="inlineStr">
        <is>
          <t/>
        </is>
      </c>
      <c r="D2255" s="6" t="inlineStr">
        <is>
          <t/>
        </is>
      </c>
      <c r="E2255" s="6" t="inlineStr">
        <is>
          <t/>
        </is>
      </c>
      <c r="F2255" s="6" t="inlineStr">
        <is>
          <t/>
        </is>
      </c>
      <c r="G2255" s="6" t="inlineStr">
        <is>
          <t/>
        </is>
      </c>
    </row>
    <row r="2256">
      <c r="A2256" s="3" t="inlineStr">
        <is>
          <t>SXECCM2FESE</t>
        </is>
      </c>
      <c r="B2256" s="2" t="inlineStr">
        <is>
          <t>STANLEY SXECCM2FESE kültéri fém kábeldob, 25 m, IP44-es védelem, kábelvezető, masszív fém dob és láb, H07RN-F 3G2,5 mm2 kábel, max. 3000 W</t>
        </is>
      </c>
      <c r="C2256" s="1" t="n">
        <v>50990.0</v>
      </c>
      <c r="D2256" s="7" t="n">
        <f>HYPERLINK("https://www.somogyi.hu/product/stanley-sxeccm2fese-kulteri-fem-kabeldob-25-m-ip44-es-vedelem-kabelvezeto-massziv-fem-dob-es-lab-h07rn-f-3g2-5-mm2-kabel-max-3000-w-sxeccm2fese-17042","https://www.somogyi.hu/product/stanley-sxeccm2fese-kulteri-fem-kabeldob-25-m-ip44-es-vedelem-kabelvezeto-massziv-fem-dob-es-lab-h07rn-f-3g2-5-mm2-kabel-max-3000-w-sxeccm2fese-17042")</f>
        <v>0.0</v>
      </c>
      <c r="E2256" s="7" t="n">
        <f>HYPERLINK("https://www.somogyi.hu/data/img/product_main_images/small/17042.jpg","https://www.somogyi.hu/data/img/product_main_images/small/17042.jpg")</f>
        <v>0.0</v>
      </c>
      <c r="F2256" s="2" t="inlineStr">
        <is>
          <t>8719322270627</t>
        </is>
      </c>
      <c r="G2256"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57">
      <c r="A2257" s="3" t="inlineStr">
        <is>
          <t>SXECCM2FAVE</t>
        </is>
      </c>
      <c r="B2257" s="2" t="inlineStr">
        <is>
          <t>STANLEY SXECCM2FAVE kültéri fém kábeldob, 40 m, IP44-es védelem, kábelvezető, masszív fém dob és láb, H07RN-F 3G1,5 mm2 kábel, max. 3000 W</t>
        </is>
      </c>
      <c r="C2257" s="1" t="n">
        <v>51990.0</v>
      </c>
      <c r="D2257" s="7" t="n">
        <f>HYPERLINK("https://www.somogyi.hu/product/stanley-sxeccm2fave-kulteri-fem-kabeldob-40-m-ip44-es-vedelem-kabelvezeto-massziv-fem-dob-es-lab-h07rn-f-3g1-5-mm2-kabel-max-3000-w-sxeccm2fave-16692","https://www.somogyi.hu/product/stanley-sxeccm2fave-kulteri-fem-kabeldob-40-m-ip44-es-vedelem-kabelvezeto-massziv-fem-dob-es-lab-h07rn-f-3g1-5-mm2-kabel-max-3000-w-sxeccm2fave-16692")</f>
        <v>0.0</v>
      </c>
      <c r="E2257" s="7" t="n">
        <f>HYPERLINK("https://www.somogyi.hu/data/img/product_main_images/small/16692.jpg","https://www.somogyi.hu/data/img/product_main_images/small/16692.jpg")</f>
        <v>0.0</v>
      </c>
      <c r="F2257" s="2" t="inlineStr">
        <is>
          <t>8719322271259</t>
        </is>
      </c>
      <c r="G2257"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így kényelmes használatot biztosít a le és feltekerés alkalmával. A gumi vezeték hossza 40 m. IP 44-es védelemmel ellátott. 
A STANLEY prémium minőségű termékei kiváló anyagfelhasználással készültek, strapabíró és széles körű funkciókkal, a biztonságos használatot előtérbe helyezve. 
Élettartam garancia!</t>
        </is>
      </c>
    </row>
    <row r="2258">
      <c r="A2258" s="3" t="inlineStr">
        <is>
          <t>SXECCL26BVE</t>
        </is>
      </c>
      <c r="B2258" s="2" t="inlineStr">
        <is>
          <t>STANLEY SXECCL26BVE beltéri kábeldob, 25 m, beépített kábelvezető, masszív fém láb és fogantyú, H05VV-F 3G1,5 mm2 kábel, max. 3000 W</t>
        </is>
      </c>
      <c r="C2258" s="1" t="n">
        <v>41690.0</v>
      </c>
      <c r="D2258" s="7" t="n">
        <f>HYPERLINK("https://www.somogyi.hu/product/stanley-sxeccl26bve-belteri-kabeldob-25-m-beepitett-kabelvezeto-massziv-fem-lab-es-fogantyu-h05vv-f-3g1-5-mm2-kabel-max-3000-w-sxeccl26bve-16690","https://www.somogyi.hu/product/stanley-sxeccl26bve-belteri-kabeldob-25-m-beepitett-kabelvezeto-massziv-fem-lab-es-fogantyu-h05vv-f-3g1-5-mm2-kabel-max-3000-w-sxeccl26bve-16690")</f>
        <v>0.0</v>
      </c>
      <c r="E2258" s="7" t="n">
        <f>HYPERLINK("https://www.somogyi.hu/data/img/product_main_images/small/16690.jpg","https://www.somogyi.hu/data/img/product_main_images/small/16690.jpg")</f>
        <v>0.0</v>
      </c>
      <c r="F2258" s="2" t="inlineStr">
        <is>
          <t>8719322271280</t>
        </is>
      </c>
      <c r="G2258"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40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59">
      <c r="A2259" s="3" t="inlineStr">
        <is>
          <t>SXECCR91A3E</t>
        </is>
      </c>
      <c r="B2259" s="2" t="inlineStr">
        <is>
          <t>STANLEY SXECCR91A3E hosszabbító lengőaljzattal, 25 m, IP44-es védelem, kül- és beltéren egyaránt használható, H07RN-F 3G1,5 mm2 fekete kábel</t>
        </is>
      </c>
      <c r="C2259" s="1" t="n">
        <v>30290.0</v>
      </c>
      <c r="D2259" s="7" t="n">
        <f>HYPERLINK("https://www.somogyi.hu/product/stanley-sxeccr91a3e-hosszabbito-lengoaljzattal-25-m-ip44-es-vedelem-kul-es-belteren-egyarant-hasznalhato-h07rn-f-3g1-5-mm2-fekete-kabel-sxeccr91a3e-16687","https://www.somogyi.hu/product/stanley-sxeccr91a3e-hosszabbito-lengoaljzattal-25-m-ip44-es-vedelem-kul-es-belteren-egyarant-hasznalhato-h07rn-f-3g1-5-mm2-fekete-kabel-sxeccr91a3e-16687")</f>
        <v>0.0</v>
      </c>
      <c r="E2259" s="7" t="n">
        <f>HYPERLINK("https://www.somogyi.hu/data/img/product_main_images/small/16687.jpg","https://www.somogyi.hu/data/img/product_main_images/small/16687.jpg")</f>
        <v>0.0</v>
      </c>
      <c r="F2259" s="2" t="inlineStr">
        <is>
          <t>8719322271860</t>
        </is>
      </c>
      <c r="G2259"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60">
      <c r="A2260" s="3" t="inlineStr">
        <is>
          <t>SXECCH2LAFE</t>
        </is>
      </c>
      <c r="B2260" s="2" t="inlineStr">
        <is>
          <t>STANLEY SXECCH2LAFE 4-es elosztó kapcsolóval, 3 m, IP44-es védelem, alumínium ház, csíptetővel, beltérben is használható, H07RN-F 3G1,5 mm2 kábel</t>
        </is>
      </c>
      <c r="C2260" s="1" t="n">
        <v>20890.0</v>
      </c>
      <c r="D2260" s="7" t="n">
        <f>HYPERLINK("https://www.somogyi.hu/product/stanley-sxecch2lafe-4-es-eloszto-kapcsoloval-3-m-ip44-es-vedelem-aluminium-haz-csiptetovel-belterben-is-hasznalhato-h07rn-f-3g1-5-mm2-kabel-sxecch2lafe-16683","https://www.somogyi.hu/product/stanley-sxecch2lafe-4-es-eloszto-kapcsoloval-3-m-ip44-es-vedelem-aluminium-haz-csiptetovel-belterben-is-hasznalhato-h07rn-f-3g1-5-mm2-kabel-sxecch2lafe-16683")</f>
        <v>0.0</v>
      </c>
      <c r="E2260" s="7" t="n">
        <f>HYPERLINK("https://www.somogyi.hu/data/img/product_main_images/small/16683.jpg","https://www.somogyi.hu/data/img/product_main_images/small/16683.jpg")</f>
        <v>0.0</v>
      </c>
      <c r="F2260" s="2" t="inlineStr">
        <is>
          <t>8719322270924</t>
        </is>
      </c>
      <c r="G2260" s="4" t="inlineStr">
        <is>
          <t>A STANLEY 4-es hálózati elosztó kapcsolóval, csiptetős kivitelben készült, így asztallapra vagy létrára is csiptethető,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A STANLEY prémium minőségű termékei kiváló anyagfelhasználással készültek, strapabíró és széles körű funkciókkal, a biztonságos használatot előtérbe helyezve. 
Élettartam garancia!</t>
        </is>
      </c>
    </row>
    <row r="2261">
      <c r="A2261" s="3" t="inlineStr">
        <is>
          <t>SXECCM2FASE</t>
        </is>
      </c>
      <c r="B2261" s="2" t="inlineStr">
        <is>
          <t>STANLEY SXECCM2FASE kültéri fém kábeldob, 25 m, IP44-es védelem, kábelvezető, masszív fém dob és láb, H07RN-F 3G1,5 mm2 kábel, max. 3000 W</t>
        </is>
      </c>
      <c r="C2261" s="1" t="n">
        <v>41990.0</v>
      </c>
      <c r="D2261" s="7" t="n">
        <f>HYPERLINK("https://www.somogyi.hu/product/stanley-sxeccm2fase-kulteri-fem-kabeldob-25-m-ip44-es-vedelem-kabelvezeto-massziv-fem-dob-es-lab-h07rn-f-3g1-5-mm2-kabel-max-3000-w-sxeccm2fase-16691","https://www.somogyi.hu/product/stanley-sxeccm2fase-kulteri-fem-kabeldob-25-m-ip44-es-vedelem-kabelvezeto-massziv-fem-dob-es-lab-h07rn-f-3g1-5-mm2-kabel-max-3000-w-sxeccm2fase-16691")</f>
        <v>0.0</v>
      </c>
      <c r="E2261" s="7" t="n">
        <f>HYPERLINK("https://www.somogyi.hu/data/img/product_main_images/small/16691.jpg","https://www.somogyi.hu/data/img/product_main_images/small/16691.jpg")</f>
        <v>0.0</v>
      </c>
      <c r="F2261" s="2" t="inlineStr">
        <is>
          <t>8719322271242</t>
        </is>
      </c>
      <c r="G2261"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62">
      <c r="A2262" s="3" t="inlineStr">
        <is>
          <t>SXECCR91A1E</t>
        </is>
      </c>
      <c r="B2262" s="2" t="inlineStr">
        <is>
          <t>STANLEY SXECCR91A1E hosszabbító lengőaljzattal, 10 m, IP44-es védelem, kül- és beltéren egyaránt használható, H07RN-F 3G1,5 mm2 fekete kábel</t>
        </is>
      </c>
      <c r="C2262" s="1" t="n">
        <v>12190.0</v>
      </c>
      <c r="D2262" s="7" t="n">
        <f>HYPERLINK("https://www.somogyi.hu/product/stanley-sxeccr91a1e-hosszabbito-lengoaljzattal-10-m-ip44-es-vedelem-kul-es-belteren-egyarant-hasznalhato-h07rn-f-3g1-5-mm2-fekete-kabel-sxeccr91a1e-16685","https://www.somogyi.hu/product/stanley-sxeccr91a1e-hosszabbito-lengoaljzattal-10-m-ip44-es-vedelem-kul-es-belteren-egyarant-hasznalhato-h07rn-f-3g1-5-mm2-fekete-kabel-sxeccr91a1e-16685")</f>
        <v>0.0</v>
      </c>
      <c r="E2262" s="7" t="n">
        <f>HYPERLINK("https://www.somogyi.hu/data/img/product_main_images/small/16685.jpg","https://www.somogyi.hu/data/img/product_main_images/small/16685.jpg")</f>
        <v>0.0</v>
      </c>
      <c r="F2262" s="2" t="inlineStr">
        <is>
          <t>8719322271846</t>
        </is>
      </c>
      <c r="G2262"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10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63">
      <c r="A2263" s="3" t="inlineStr">
        <is>
          <t>SXECCD2LADE</t>
        </is>
      </c>
      <c r="B2263" s="2" t="inlineStr">
        <is>
          <t>STANLEY SXECCD2LADE 4-es elosztó kapcsolóval, 2 m,  IP44-es védelem, alumínium ház, beltérben is használható, H07RN-F 3G1,5 mm2 kábel</t>
        </is>
      </c>
      <c r="C2263" s="1" t="n">
        <v>9690.0</v>
      </c>
      <c r="D2263" s="7" t="n">
        <f>HYPERLINK("https://www.somogyi.hu/product/stanley-sxeccd2lade-4-es-eloszto-kapcsoloval-2-m-ip44-es-vedelem-aluminium-haz-belterben-is-hasznalhato-h07rn-f-3g1-5-mm2-kabel-sxeccd2lade-16679","https://www.somogyi.hu/product/stanley-sxeccd2lade-4-es-eloszto-kapcsoloval-2-m-ip44-es-vedelem-aluminium-haz-belterben-is-hasznalhato-h07rn-f-3g1-5-mm2-kabel-sxeccd2lade-16679")</f>
        <v>0.0</v>
      </c>
      <c r="E2263" s="7" t="n">
        <f>HYPERLINK("https://www.somogyi.hu/data/img/product_main_images/small/16679.jpg","https://www.somogyi.hu/data/img/product_main_images/small/16679.jpg")</f>
        <v>0.0</v>
      </c>
      <c r="F2263" s="2" t="inlineStr">
        <is>
          <t>8719322272881</t>
        </is>
      </c>
      <c r="G2263" s="4" t="inlineStr">
        <is>
          <t>A STANLEY 4-es hálózati elosztó kapcsolóval ellátott.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így kül- és beltéren egyaránt használható. 
A STANLEY prémium minőségű termékei kiváló anyagfelhasználással készültek, strapabíró és széles körű funkciókkal, a biztonságos használatot előtérbe helyezve. 
Élettartam garancia!</t>
        </is>
      </c>
    </row>
    <row r="2264">
      <c r="A2264" s="3" t="inlineStr">
        <is>
          <t>SXECCL27ARE</t>
        </is>
      </c>
      <c r="B2264" s="2" t="inlineStr">
        <is>
          <t>STANLEY SXECCL27ARE kültéri kábeldob, 20 m, IP44-es védelem, kábelvezető, masszív fém láb, H07RN-F 3G1,5 mm2 kábel, max. 3000 W</t>
        </is>
      </c>
      <c r="C2264" s="1" t="n">
        <v>30390.0</v>
      </c>
      <c r="D2264" s="7" t="n">
        <f>HYPERLINK("https://www.somogyi.hu/product/stanley-sxeccl27are-kulteri-kabeldob-20-m-ip44-es-vedelem-kabelvezeto-massziv-fem-lab-h07rn-f-3g1-5-mm2-kabel-max-3000-w-sxeccl27are-16688","https://www.somogyi.hu/product/stanley-sxeccl27are-kulteri-kabeldob-20-m-ip44-es-vedelem-kabelvezeto-massziv-fem-lab-h07rn-f-3g1-5-mm2-kabel-max-3000-w-sxeccl27are-16688")</f>
        <v>0.0</v>
      </c>
      <c r="E2264" s="7" t="n">
        <f>HYPERLINK("https://www.somogyi.hu/data/img/product_main_images/small/16688.jpg","https://www.somogyi.hu/data/img/product_main_images/small/16688.jpg")</f>
        <v>0.0</v>
      </c>
      <c r="F2264" s="2" t="inlineStr">
        <is>
          <t>8719322271303</t>
        </is>
      </c>
      <c r="G2264" s="4" t="inlineStr">
        <is>
          <t>A STANLEY Kültéri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20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65">
      <c r="A2265" s="3" t="inlineStr">
        <is>
          <t>SXECCR25AJE</t>
        </is>
      </c>
      <c r="B2265" s="2" t="inlineStr">
        <is>
          <t xml:space="preserve">STANLEY SXECCR25AJE 4-es elosztó kapcsolóval, 5 m, IP44-es védelem, RCD dugóval áramütés és elektromos tűz ellen, H07RN-F 3G1,5 mm2 kábel, </t>
        </is>
      </c>
      <c r="C2265" s="1" t="n">
        <v>15190.0</v>
      </c>
      <c r="D2265" s="7" t="n">
        <f>HYPERLINK("https://www.somogyi.hu/product/stanley-sxeccr25aje-4-es-eloszto-kapcsoloval-5-m-ip44-es-vedelem-rcd-dugoval-aramutes-es-elektromos-tuz-ellen-h07rn-f-3g1-5-mm2-kabel-sxeccr25aje-16684","https://www.somogyi.hu/product/stanley-sxeccr25aje-4-es-eloszto-kapcsoloval-5-m-ip44-es-vedelem-rcd-dugoval-aramutes-es-elektromos-tuz-ellen-h07rn-f-3g1-5-mm2-kabel-sxeccr25aje-16684")</f>
        <v>0.0</v>
      </c>
      <c r="E2265" s="7" t="n">
        <f>HYPERLINK("https://www.somogyi.hu/data/img/product_main_images/small/16684.jpg","https://www.somogyi.hu/data/img/product_main_images/small/16684.jpg")</f>
        <v>0.0</v>
      </c>
      <c r="F2265" s="2" t="inlineStr">
        <is>
          <t>8719322271907</t>
        </is>
      </c>
      <c r="G2265" s="4" t="inlineStr">
        <is>
          <t>A STANLEY 4-es elosztó kapcsolóval és RCD dugóval felszerelt. Fokozott védelmet nyújt áramütés és elektromos tűz ellen. 
Masszív és robusztus kialakításának köszönhetően hosszú élettartamú lesz akár az építőiparban vagy otthoni alkalmazás során. Elsősorban szakembereknek ajánljuk, rendszeres használat mellett is. 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66">
      <c r="A2266" s="3" t="inlineStr">
        <is>
          <t>SXECCK0EAJE</t>
        </is>
      </c>
      <c r="B2266" s="2" t="inlineStr">
        <is>
          <t>STANLEY SXECCK0EAJE 2-es elosztó, 5 m, IP44-es védelem, alumínium ház, övcsipesszel, beltérben is használható, H07RN-F 3G1,5 mm2 kábel</t>
        </is>
      </c>
      <c r="C2266" s="1" t="n">
        <v>11690.0</v>
      </c>
      <c r="D2266" s="7" t="n">
        <f>HYPERLINK("https://www.somogyi.hu/product/stanley-sxecck0eaje-2-es-eloszto-5-m-ip44-es-vedelem-aluminium-haz-ovcsipesszel-belterben-is-hasznalhato-h07rn-f-3g1-5-mm2-kabel-sxecck0eaje-16682","https://www.somogyi.hu/product/stanley-sxecck0eaje-2-es-eloszto-5-m-ip44-es-vedelem-aluminium-haz-ovcsipesszel-belterben-is-hasznalhato-h07rn-f-3g1-5-mm2-kabel-sxecck0eaje-16682")</f>
        <v>0.0</v>
      </c>
      <c r="E2266" s="7" t="n">
        <f>HYPERLINK("https://www.somogyi.hu/data/img/product_main_images/small/16682.jpg","https://www.somogyi.hu/data/img/product_main_images/small/16682.jpg")</f>
        <v>0.0</v>
      </c>
      <c r="F2266" s="2" t="inlineStr">
        <is>
          <t>8719322270955</t>
        </is>
      </c>
      <c r="G2266" s="4" t="inlineStr">
        <is>
          <t>A STANLEY 2-es hálózati elosztó, övcsipesszel ellátott, így mindig könnyen elérhető lesz. A STANLEY hálózati elosztó alumínium háza masszív és robusztus kialakításának köszönhetően hosszú élettartamú lesz akár az építőiparban vagy otthoni alkalmazás során. Elsősorban szakembereknek ajánljuk, rendszeres használat mellett is. 5 méteres vezetékkel és IP 44-es védelemmel ellátott. 
A STANLEY prémium minőségű termékei kiváló anyagfelhasználással készültek, strapabíró és széles körű funkciókkal, a biztonságos használatot előtérbe helyezve. 
Élettartam garancia!</t>
        </is>
      </c>
    </row>
    <row r="2267">
      <c r="A2267" s="3" t="inlineStr">
        <is>
          <t>SXECCR91E2E</t>
        </is>
      </c>
      <c r="B2267" s="2" t="inlineStr">
        <is>
          <t>STANLEY SXECCR91E2E hosszabbító lengőaljzattal, 20 m, IP44-es védelem, kül- és beltéren egyaránt használható, H07RN-F 3G2,5 mm2 fekete kábel</t>
        </is>
      </c>
      <c r="C2267" s="1" t="n">
        <v>34490.0</v>
      </c>
      <c r="D2267" s="7" t="n">
        <f>HYPERLINK("https://www.somogyi.hu/product/stanley-sxeccr91e2e-hosszabbito-lengoaljzattal-20-m-ip44-es-vedelem-kul-es-belteren-egyarant-hasznalhato-h07rn-f-3g2-5-mm2-fekete-kabel-sxeccr91e2e-16686","https://www.somogyi.hu/product/stanley-sxeccr91e2e-hosszabbito-lengoaljzattal-20-m-ip44-es-vedelem-kul-es-belteren-egyarant-hasznalhato-h07rn-f-3g2-5-mm2-fekete-kabel-sxeccr91e2e-16686")</f>
        <v>0.0</v>
      </c>
      <c r="E2267" s="7" t="n">
        <f>HYPERLINK("https://www.somogyi.hu/data/img/product_main_images/small/16686.jpg","https://www.somogyi.hu/data/img/product_main_images/small/16686.jpg")</f>
        <v>0.0</v>
      </c>
      <c r="F2267" s="2" t="inlineStr">
        <is>
          <t>8719322271853</t>
        </is>
      </c>
      <c r="G2267"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20 méteres 3 X 2,5 mm2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68">
      <c r="A2268" s="3" t="inlineStr">
        <is>
          <t>SXECCD0RAJE</t>
        </is>
      </c>
      <c r="B2268" s="2" t="inlineStr">
        <is>
          <t>STANLEY SXECCD0RAJE 4-es elosztó kapcsolóval, 5 m, IP44-es védelem, alumínium ház, felakasztható, beltérben is használható, H07RN-F 3G1,5 mm2 kábel</t>
        </is>
      </c>
      <c r="C2268" s="1" t="n">
        <v>14290.0</v>
      </c>
      <c r="D2268" s="7" t="n">
        <f>HYPERLINK("https://www.somogyi.hu/product/stanley-sxeccd0raje-4-es-eloszto-kapcsoloval-5-m-ip44-es-vedelem-aluminium-haz-felakaszthato-belterben-is-hasznalhato-h07rn-f-3g1-5-mm2-kabel-sxeccd0raje-16680","https://www.somogyi.hu/product/stanley-sxeccd0raje-4-es-eloszto-kapcsoloval-5-m-ip44-es-vedelem-aluminium-haz-felakaszthato-belterben-is-hasznalhato-h07rn-f-3g1-5-mm2-kabel-sxeccd0raje-16680")</f>
        <v>0.0</v>
      </c>
      <c r="E2268" s="7" t="n">
        <f>HYPERLINK("https://www.somogyi.hu/data/img/product_main_images/small/16680.jpg","https://www.somogyi.hu/data/img/product_main_images/small/16680.jpg")</f>
        <v>0.0</v>
      </c>
      <c r="F2268" s="2" t="inlineStr">
        <is>
          <t>8719322270900</t>
        </is>
      </c>
      <c r="G2268" s="4" t="inlineStr">
        <is>
          <t>A STANLEY 4-es hálózati elosztó kapcsolóval, felakasztható kivitelben készült,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69">
      <c r="A2269" s="3" t="inlineStr">
        <is>
          <t>SXECCL26BSE</t>
        </is>
      </c>
      <c r="B2269" s="2" t="inlineStr">
        <is>
          <t>STANLEY SXECCL26BSE beltéri kábeldob, 25 m, beépített kábelvezető, masszív fém láb és fogantyú, H05VV-F 3G1,5 mm2 kábel, max. 3000 W</t>
        </is>
      </c>
      <c r="C2269" s="1" t="n">
        <v>31090.0</v>
      </c>
      <c r="D2269" s="7" t="n">
        <f>HYPERLINK("https://www.somogyi.hu/product/stanley-sxeccl26bse-belteri-kabeldob-25-m-beepitett-kabelvezeto-massziv-fem-lab-es-fogantyu-h05vv-f-3g1-5-mm2-kabel-max-3000-w-sxeccl26bse-16689","https://www.somogyi.hu/product/stanley-sxeccl26bse-belteri-kabeldob-25-m-beepitett-kabelvezeto-massziv-fem-lab-es-fogantyu-h05vv-f-3g1-5-mm2-kabel-max-3000-w-sxeccl26bse-16689")</f>
        <v>0.0</v>
      </c>
      <c r="E2269" s="7" t="n">
        <f>HYPERLINK("https://www.somogyi.hu/data/img/product_main_images/small/16689.jpg","https://www.somogyi.hu/data/img/product_main_images/small/16689.jpg")</f>
        <v>0.0</v>
      </c>
      <c r="F2269" s="2" t="inlineStr">
        <is>
          <t>8719322271297</t>
        </is>
      </c>
      <c r="G2269"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25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70">
      <c r="A2270" s="3" t="inlineStr">
        <is>
          <t>SXECCC0LAJE</t>
        </is>
      </c>
      <c r="B2270" s="2" t="inlineStr">
        <is>
          <t>STANLEY SXECCC0LAJE 2-es elosztó kapcsolóval, 5 m, IP44-es védelem, alumínium ház, leszúrható, beltérben is használható, H07RN-F 3G1,5 mm2 kábel</t>
        </is>
      </c>
      <c r="C2270" s="1" t="n">
        <v>10290.0</v>
      </c>
      <c r="D2270" s="7" t="n">
        <f>HYPERLINK("https://www.somogyi.hu/product/stanley-sxeccc0laje-2-es-eloszto-kapcsoloval-5-m-ip44-es-vedelem-aluminium-haz-leszurhato-belterben-is-hasznalhato-h07rn-f-3g1-5-mm2-kabel-sxeccc0laje-16681","https://www.somogyi.hu/product/stanley-sxeccc0laje-2-es-eloszto-kapcsoloval-5-m-ip44-es-vedelem-aluminium-haz-leszurhato-belterben-is-hasznalhato-h07rn-f-3g1-5-mm2-kabel-sxeccc0laje-16681")</f>
        <v>0.0</v>
      </c>
      <c r="E2270" s="7" t="n">
        <f>HYPERLINK("https://www.somogyi.hu/data/img/product_main_images/small/16681.jpg","https://www.somogyi.hu/data/img/product_main_images/small/16681.jpg")</f>
        <v>0.0</v>
      </c>
      <c r="F2270" s="2" t="inlineStr">
        <is>
          <t>8719322272898</t>
        </is>
      </c>
      <c r="G2270" s="4" t="inlineStr">
        <is>
          <t>A STANLEY 2-es hálózati elosztó kapcsolóval, leszúrható kivitelben készült, így ideális a kültéri munkálatokhoz.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71">
      <c r="A2271" s="6" t="inlineStr">
        <is>
          <t xml:space="preserve">   Villamosság / Kábeldob</t>
        </is>
      </c>
      <c r="B2271" s="6" t="inlineStr">
        <is>
          <t/>
        </is>
      </c>
      <c r="C2271" s="6" t="inlineStr">
        <is>
          <t/>
        </is>
      </c>
      <c r="D2271" s="6" t="inlineStr">
        <is>
          <t/>
        </is>
      </c>
      <c r="E2271" s="6" t="inlineStr">
        <is>
          <t/>
        </is>
      </c>
      <c r="F2271" s="6" t="inlineStr">
        <is>
          <t/>
        </is>
      </c>
      <c r="G2271" s="6" t="inlineStr">
        <is>
          <t/>
        </is>
      </c>
    </row>
    <row r="2272">
      <c r="A2272" s="3" t="inlineStr">
        <is>
          <t>HJR 4-25</t>
        </is>
      </c>
      <c r="B2272" s="2" t="inlineStr">
        <is>
          <t>Home HJR 4-25 kábeldob, 25 m, IP20 kivitel, fém talp, H05VV-F 3G1,0 mm2 kábel, max. 2300 W, védőkapcsoló, 4 védőérintkezős aljzat</t>
        </is>
      </c>
      <c r="C2272" s="1" t="n">
        <v>13890.0</v>
      </c>
      <c r="D2272" s="7" t="n">
        <f>HYPERLINK("https://www.somogyi.hu/product/home-hjr-4-25-kabeldob-25-m-ip20-kivitel-fem-talp-h05vv-f-3g1-0-mm2-kabel-max-2300-w-vedokapcsolo-4-vedoerintkezos-aljzat-hjr-4-25-3221","https://www.somogyi.hu/product/home-hjr-4-25-kabeldob-25-m-ip20-kivitel-fem-talp-h05vv-f-3g1-0-mm2-kabel-max-2300-w-vedokapcsolo-4-vedoerintkezos-aljzat-hjr-4-25-3221")</f>
        <v>0.0</v>
      </c>
      <c r="E2272" s="7" t="n">
        <f>HYPERLINK("https://www.somogyi.hu/data/img/product_main_images/small/03221.jpg","https://www.somogyi.hu/data/img/product_main_images/small/03221.jpg")</f>
        <v>0.0</v>
      </c>
      <c r="F2272" s="2" t="inlineStr">
        <is>
          <t>5998312735459</t>
        </is>
      </c>
      <c r="G2272" s="4" t="inlineStr">
        <is>
          <t>Unja már, hogy mindig hosszabbító után kell kutatnia? A Home HJR 4-25 kábeldobbal megoldódik a problémája! Robusztus kialakításának köszönhetően kiváló társ lesz bármilyen munkához.
Ez a kábeldob 25 méter hosszú, H05VV-F 3G1,0 mm2 kábellel van felszerelve, ami lehetővé teszi a biztonságos használatot feltekerve és letekerve egyaránt. Feltekert állapotban való használatkor 900 W, letekerve pedig 2300 W maximális terhelhetőségével rendkívül sokoldalú. A pipa alakú dugó és a négy védőérintkezős aljzat gondoskodik a könnyű csatlakoztatásról, míg a strapabíró fém talp stabilitást biztosít.
A kioldott hővédelem egyszerűen visszaállítható a kábeldobon elhelyezett visszaállító gombbal. Az IP20 védettség mellett a Home HJR 4-25 kábeldob megfelel minden belső térben történő használathoz. Ne hagyja, hogy a munkáját a vezetékek hossza korlátozza - válassza a Home HJR 4-25 kábeldobot!</t>
        </is>
      </c>
    </row>
    <row r="2273">
      <c r="A2273" s="3" t="inlineStr">
        <is>
          <t>HJR 4-40</t>
        </is>
      </c>
      <c r="B2273" s="2" t="inlineStr">
        <is>
          <t>Home HJR 4-40 kábeldob, 40 m, IP20 kivitel, fém talp, H05VV-F 3G1,0 mm2 kábel, max. 2300 W, védőkapcsoló, 4 védőérintkezős aljzat</t>
        </is>
      </c>
      <c r="C2273" s="1" t="n">
        <v>21390.0</v>
      </c>
      <c r="D2273" s="7" t="n">
        <f>HYPERLINK("https://www.somogyi.hu/product/home-hjr-4-40-kabeldob-40-m-ip20-kivitel-fem-talp-h05vv-f-3g1-0-mm2-kabel-max-2300-w-vedokapcsolo-4-vedoerintkezos-aljzat-hjr-4-40-4290","https://www.somogyi.hu/product/home-hjr-4-40-kabeldob-40-m-ip20-kivitel-fem-talp-h05vv-f-3g1-0-mm2-kabel-max-2300-w-vedokapcsolo-4-vedoerintkezos-aljzat-hjr-4-40-4290")</f>
        <v>0.0</v>
      </c>
      <c r="E2273" s="7" t="n">
        <f>HYPERLINK("https://www.somogyi.hu/data/img/product_main_images/small/04290.jpg","https://www.somogyi.hu/data/img/product_main_images/small/04290.jpg")</f>
        <v>0.0</v>
      </c>
      <c r="F2273" s="2" t="inlineStr">
        <is>
          <t>5998312737538</t>
        </is>
      </c>
      <c r="G2273" s="4" t="inlineStr">
        <is>
          <t>Gondolta volna, hogy egy kábeldob lehet a munkahelyi hatékonyság kulcsa? A Home HJR 4-40 kábeldob nem csupán praktikus, hanem biztonságos és megbízható megoldást kínál hosszabbítók terén.
Fém talpának köszönhetően stabilan áll, míg a 40 méter hosszú H05VV-F 3G1,0 mm2 kábel biztosítja az elektromos eszközök zavartalan energiaellátását, legyen szó akár a kertben, műhelyben való vagy otthoni használatról. A kábeldob feltekerve akár 900 W, letekerve pedig 2300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4-40 kábeldob nem csak a munkát teszi hatékonyabbá, hanem a biztonságot is növeli. Válassza a Home HJR 4-40 kábeldobot, és szabaduljon meg a rengeteg zavaró hosszabbítótól!</t>
        </is>
      </c>
    </row>
    <row r="2274">
      <c r="A2274" s="3" t="inlineStr">
        <is>
          <t>HJR 10-15</t>
        </is>
      </c>
      <c r="B2274" s="2" t="inlineStr">
        <is>
          <t>Home HJR 10-15 kábeldob, 15 m, műanyag tartóval, IP44-es védelem, H05RR-F 3G1,0 mm2 gumírozott kábel, 4 aljzat takarófedéllel, max. 2300 W, kültérre is</t>
        </is>
      </c>
      <c r="C2274" s="1" t="n">
        <v>12690.0</v>
      </c>
      <c r="D2274" s="7" t="n">
        <f>HYPERLINK("https://www.somogyi.hu/product/home-hjr-10-15-kabeldob-15-m-muanyag-tartoval-ip44-es-vedelem-h05rr-f-3g1-0-mm2-gumirozott-kabel-4-aljzat-takarofedellel-max-2300-w-kulterre-is-hjr-10-15-8935","https://www.somogyi.hu/product/home-hjr-10-15-kabeldob-15-m-muanyag-tartoval-ip44-es-vedelem-h05rr-f-3g1-0-mm2-gumirozott-kabel-4-aljzat-takarofedellel-max-2300-w-kulterre-is-hjr-10-15-8935")</f>
        <v>0.0</v>
      </c>
      <c r="E2274" s="7" t="n">
        <f>HYPERLINK("https://www.somogyi.hu/data/img/product_main_images/small/08935.jpg","https://www.somogyi.hu/data/img/product_main_images/small/08935.jpg")</f>
        <v>0.0</v>
      </c>
      <c r="F2274" s="2" t="inlineStr">
        <is>
          <t>5998312778159</t>
        </is>
      </c>
      <c r="G2274" s="4" t="inlineStr">
        <is>
          <t>A HJR 10-15 kábeldob műanyag tartóval és komfortos markolattal ellátott, így igazán könnyű használatot garantál. 
Az IP 44 védelem által kültéren is biztonsággal használható. A túlmelegedés elleni védőkapcsoló további védelmet nyújt használat során.
A kábeldob 4 db 250 V-os védőérintkezős aljzattal ellátott, melyet takarófedél véd. A 15 m kábel H05RR-F 3G1,0 mm2 típusú. 
Feltekerve maximum 1000 W-ig, letekerve pedig 2300 W-ig terhelhető. 
A HJR 10-15 kábeldob kis helyen is elfér és akár hölgyek is könnyedén használhatják.</t>
        </is>
      </c>
    </row>
    <row r="2275">
      <c r="A2275" s="3" t="inlineStr">
        <is>
          <t>HJR 25-3</t>
        </is>
      </c>
      <c r="B2275" s="2" t="inlineStr">
        <is>
          <t>Home HJR 25-3 kábeldob, 22 + 3 m,  IP44-es védelem, H05RR-F 3G1,5 mm2 gumírozott kábel,  védőkapcsoló, max. 3500 W, fém talp, kültérre is</t>
        </is>
      </c>
      <c r="C2275" s="1" t="n">
        <v>27190.0</v>
      </c>
      <c r="D2275" s="7" t="n">
        <f>HYPERLINK("https://www.somogyi.hu/product/home-hjr-25-3-kabeldob-22-3-m-ip44-es-vedelem-h05rr-f-3g1-5-mm2-gumirozott-kabel-vedokapcsolo-max-3500-w-fem-talp-kulterre-is-hjr-25-3-15876","https://www.somogyi.hu/product/home-hjr-25-3-kabeldob-22-3-m-ip44-es-vedelem-h05rr-f-3g1-5-mm2-gumirozott-kabel-vedokapcsolo-max-3500-w-fem-talp-kulterre-is-hjr-25-3-15876")</f>
        <v>0.0</v>
      </c>
      <c r="E2275" s="7" t="n">
        <f>HYPERLINK("https://www.somogyi.hu/data/img/product_main_images/small/15876.jpg","https://www.somogyi.hu/data/img/product_main_images/small/15876.jpg")</f>
        <v>0.0</v>
      </c>
      <c r="F2275" s="2" t="inlineStr">
        <is>
          <t>5999084939106</t>
        </is>
      </c>
      <c r="G2275" s="4" t="inlineStr">
        <is>
          <t>A HJR 25-3 kábeldob különleges kialakításának köszönhetően nem szükséges a működtetett berendezés közelében használni, ezzel is védheti a készülékeit. A kábeldob 22 m gumi kábellel ellátott, aminek a végén lengő aljzat található. A külső kicsi felcsévélő dobon 3 m vezeték található, ami egyenes dugós. 
Az IP 44 védelem által kültéren is biztonsággal használható. A túlmelegedés elleni védőkapcsoló további védelmet nyújt használat során. A termék masszív fém talppal és 22 m hosszú H05RR-FG1,5 mm2 gumi kábellel ellátott. 
Feltekerve maximum 1000 W-ig, letekerve pedig 3500 W-ig terhelhető.</t>
        </is>
      </c>
    </row>
    <row r="2276">
      <c r="A2276" s="3" t="inlineStr">
        <is>
          <t>HJRM 10-25</t>
        </is>
      </c>
      <c r="B2276" s="2" t="inlineStr">
        <is>
          <t>Home HJRM 10-25 fém kábeldob, 25 m, fém talp és dob, IP44-es védelem, H07RN-F 3G1,5 mm2 gumi kábel, max. 3000 W, védőkapcsoló,  fix, nem forgó aljzatokkal</t>
        </is>
      </c>
      <c r="C2276" s="1" t="n">
        <v>34290.0</v>
      </c>
      <c r="D2276" s="7" t="n">
        <f>HYPERLINK("https://www.somogyi.hu/product/home-hjrm-10-25-fem-kabeldob-25-m-fem-talp-es-dob-ip44-es-vedelem-h07rn-f-3g1-5-mm2-gumi-kabel-max-3000-w-vedokapcsolo-fix-nem-forgo-aljzatokkal-hjrm-10-25-16268","https://www.somogyi.hu/product/home-hjrm-10-25-fem-kabeldob-25-m-fem-talp-es-dob-ip44-es-vedelem-h07rn-f-3g1-5-mm2-gumi-kabel-max-3000-w-vedokapcsolo-fix-nem-forgo-aljzatokkal-hjrm-10-25-16268")</f>
        <v>0.0</v>
      </c>
      <c r="E2276" s="7" t="n">
        <f>HYPERLINK("https://www.somogyi.hu/data/img/product_main_images/small/16268.jpg","https://www.somogyi.hu/data/img/product_main_images/small/16268.jpg")</f>
        <v>0.0</v>
      </c>
      <c r="F2276" s="2" t="inlineStr">
        <is>
          <t>5999084943004</t>
        </is>
      </c>
      <c r="G2276" s="4" t="inlineStr">
        <is>
          <t>Képzelje el, hogy milyen könnyű lenne a munka, ha nem kellene többé egyenként hosszabbító után nyúlnia minden egyes elektromos eszközhöz. A Home HJRM 10-25 fém kábeldob a megbízható segítője lesz minden házi és professzionális projektben.
Ez a robusztus kábeldob 25 méter hosszú, kiváló minőségű H07RN-F 3G1,5 mm2 kábellel rendelkezik, amely 250 V~ / max. 13 A terhelhetőséget biztosít. A fix, nem forgó aljzatokat a túlmelegedés elleni védőkapcsoló teszi még biztonságosabbá, így nyugodtan dolgozhat hosszabb ideig is anélkül, hogy a túlmelegedéstől kellene tartania.
Amennyiben a túlmelegedés elleni védelem aktiválódik, egyszerűen áramtalanítsa a készüléket, hagyja lehűlni, majd a visszaállító gomb megnyomásával újra használatba veheti. Válassza a Home HJRM 10-25 fém kábeldobot, és élvezze a kényelmet és biztonságot, amit nyújt!</t>
        </is>
      </c>
    </row>
    <row r="2277">
      <c r="A2277" s="3" t="inlineStr">
        <is>
          <t>HJRM 10-50</t>
        </is>
      </c>
      <c r="B2277" s="2" t="inlineStr">
        <is>
          <t>Home HJRM 10-50 fém kábeldob, 50 m, fém talp és dob, IP44-es védelem, H07RN-F 3G1,5 mm2 gumi kábel, max. 3000 W, védőkapcsoló,  fix, nem forgó aljzatokkal</t>
        </is>
      </c>
      <c r="C2277" s="1" t="n">
        <v>55390.0</v>
      </c>
      <c r="D2277" s="7" t="n">
        <f>HYPERLINK("https://www.somogyi.hu/product/home-hjrm-10-50-fem-kabeldob-50-m-fem-talp-es-dob-ip44-es-vedelem-h07rn-f-3g1-5-mm2-gumi-kabel-max-3000-w-vedokapcsolo-fix-nem-forgo-aljzatokkal-hjrm-10-50-16269","https://www.somogyi.hu/product/home-hjrm-10-50-fem-kabeldob-50-m-fem-talp-es-dob-ip44-es-vedelem-h07rn-f-3g1-5-mm2-gumi-kabel-max-3000-w-vedokapcsolo-fix-nem-forgo-aljzatokkal-hjrm-10-50-16269")</f>
        <v>0.0</v>
      </c>
      <c r="E2277" s="7" t="n">
        <f>HYPERLINK("https://www.somogyi.hu/data/img/product_main_images/small/16269.jpg","https://www.somogyi.hu/data/img/product_main_images/small/16269.jpg")</f>
        <v>0.0</v>
      </c>
      <c r="F2277" s="2" t="inlineStr">
        <is>
          <t>5999084943011</t>
        </is>
      </c>
      <c r="G2277" s="4" t="inlineStr">
        <is>
          <t>A HJRM 10-50 Kültéri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dobbal van ellátva, valamint 50 m hosszú H07RN-F 3G1,5 mm2 gumi kábellel szerelt.
A kábeldob 4 db 250 V-os aljzattal ellátott, melyet takarófedél véd. 
Feltekerve maximum 1000 W-ig, letekerve pedig 3000 W-ig terhelhető. 
Válasszon strapabíró kábeldobot, amely hosszú éveken át hasznos segítsége lesz.</t>
        </is>
      </c>
    </row>
    <row r="2278">
      <c r="A2278" s="3" t="inlineStr">
        <is>
          <t>HJR 10-50</t>
        </is>
      </c>
      <c r="B2278" s="2" t="inlineStr">
        <is>
          <t>Home HJR 10-50 kábeldob, 50 m, fém talp, IP44-es védelem, H07RN-F 3G1,5 mm2 kábel gumi kábel, max. 3000 W, 4 aljzat takarófedéllel, védőkapcsoló</t>
        </is>
      </c>
      <c r="C2278" s="1" t="n">
        <v>43890.0</v>
      </c>
      <c r="D2278" s="7" t="n">
        <f>HYPERLINK("https://www.somogyi.hu/product/home-hjr-10-50-kabeldob-50-m-fem-talp-ip44-es-vedelem-h07rn-f-3g1-5-mm2-kabel-gumi-kabel-max-3000-w-4-aljzat-takarofedellel-vedokapcsolo-hjr-10-50-4521","https://www.somogyi.hu/product/home-hjr-10-50-kabeldob-50-m-fem-talp-ip44-es-vedelem-h07rn-f-3g1-5-mm2-kabel-gumi-kabel-max-3000-w-4-aljzat-takarofedellel-vedokapcsolo-hjr-10-50-4521")</f>
        <v>0.0</v>
      </c>
      <c r="E2278" s="7" t="n">
        <f>HYPERLINK("https://www.somogyi.hu/data/img/product_main_images/small/04521.jpg","https://www.somogyi.hu/data/img/product_main_images/small/04521.jpg")</f>
        <v>0.0</v>
      </c>
      <c r="F2278" s="2" t="inlineStr">
        <is>
          <t>5998312739839</t>
        </is>
      </c>
      <c r="G2278" s="4" t="inlineStr">
        <is>
          <t>A HJR 10-50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50 m hosszú H07RN-F 3G1,5mm2 gumi kábellel ellátott. 
A kábeldob 4 db 250 V-os védőérintkezős aljzattal ellátott, melyet takarófedél véd. 
Feltekerve maximum 1000 W-ig, letekerve pedig 3000 W-ig terhelhető.</t>
        </is>
      </c>
    </row>
    <row r="2279">
      <c r="A2279" s="3" t="inlineStr">
        <is>
          <t>HJR 10-25/1,0</t>
        </is>
      </c>
      <c r="B2279" s="2" t="inlineStr">
        <is>
          <t>Home HJR 10-25/1,0 kábeldob, 25 m, fém talp, IP44-es védelem, H05RR-F 3G1,0 mm2 gumi kábel, max. 2300 W, 4 aljzat takarófedéllel, védőkapcsoló</t>
        </is>
      </c>
      <c r="C2279" s="1" t="n">
        <v>17990.0</v>
      </c>
      <c r="D2279" s="7" t="n">
        <f>HYPERLINK("https://www.somogyi.hu/product/home-hjr-10-25-1-0-kabeldob-25-m-fem-talp-ip44-es-vedelem-h05rr-f-3g1-0-mm2-gumi-kabel-max-2300-w-4-aljzat-takarofedellel-vedokapcsolo-hjr-10-25-1-0-13366","https://www.somogyi.hu/product/home-hjr-10-25-1-0-kabeldob-25-m-fem-talp-ip44-es-vedelem-h05rr-f-3g1-0-mm2-gumi-kabel-max-2300-w-4-aljzat-takarofedellel-vedokapcsolo-hjr-10-25-1-0-13366")</f>
        <v>0.0</v>
      </c>
      <c r="E2279" s="7" t="n">
        <f>HYPERLINK("https://www.somogyi.hu/data/img/product_main_images/small/13366.jpg","https://www.somogyi.hu/data/img/product_main_images/small/13366.jpg")</f>
        <v>0.0</v>
      </c>
      <c r="F2279" s="2" t="inlineStr">
        <is>
          <t>5999084914523</t>
        </is>
      </c>
      <c r="G2279" s="4" t="inlineStr">
        <is>
          <t>A HJR 10-25/1,0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25 m hosszú H05RR-F 3G1,0 mm2 gumi kábellel ellátott. 
A kábeldob 4 db 250 V-os védőérintkezős aljzattal ellátott, melyet takarófedél véd. 
Feltekerve maximum 900 W-ig, letekerve pedig 2300 W-ig terhelhető.</t>
        </is>
      </c>
    </row>
    <row r="2280">
      <c r="A2280" s="3" t="inlineStr">
        <is>
          <t>HJR 10-30</t>
        </is>
      </c>
      <c r="B2280" s="2" t="inlineStr">
        <is>
          <t>Home HJR 10-30 kábeldob, 30 m, fém talp, IP44-es védelem, H07RN-F 3G1,5 mm2 kábel gumi kábel, max. 3000 W, 4 aljzat takarófedéllel, védőkapcsoló</t>
        </is>
      </c>
      <c r="C2280" s="1" t="n">
        <v>27190.0</v>
      </c>
      <c r="D2280" s="7" t="n">
        <f>HYPERLINK("https://www.somogyi.hu/product/home-hjr-10-30-kabeldob-30-m-fem-talp-ip44-es-vedelem-h07rn-f-3g1-5-mm2-kabel-gumi-kabel-max-3000-w-4-aljzat-takarofedellel-vedokapcsolo-hjr-10-30-4520","https://www.somogyi.hu/product/home-hjr-10-30-kabeldob-30-m-fem-talp-ip44-es-vedelem-h07rn-f-3g1-5-mm2-kabel-gumi-kabel-max-3000-w-4-aljzat-takarofedellel-vedokapcsolo-hjr-10-30-4520")</f>
        <v>0.0</v>
      </c>
      <c r="E2280" s="7" t="n">
        <f>HYPERLINK("https://www.somogyi.hu/data/img/product_main_images/small/04520.jpg","https://www.somogyi.hu/data/img/product_main_images/small/04520.jpg")</f>
        <v>0.0</v>
      </c>
      <c r="F2280" s="2" t="inlineStr">
        <is>
          <t>5998312739822</t>
        </is>
      </c>
      <c r="G2280" s="4" t="inlineStr">
        <is>
          <t>Képzelje el, hogy milyen könnyű lenne a munka, ha nem kellene többé hosszabbító után nyúlnia külön-külön minden egyes elektromos eszközhöz. A Home HJR 10-30 fém talpas kábeldob a megbízható segítője lesz minden házi és professzionális projektben.
Ez a robusztus kábeldob 30 méter hosszú, kiváló minőségű H07RN-F 3G1,5 mm2 kábellel rendelkezik, amely 250 V~ / max. 13 A terhelhetőséget biztosít. A védőérintkezős aljzatok mindegyikét takarófedél védi. A kábeldob feltekert állapotban 1000 W-ig, letekert állapotban 3000 W-ig terhelhető.
Strapabíró kialakításának köszönhetően hosszú távú megoldás lehet a ház körül, és otthonában. Válassza a Home HJR 10-30 fém kábeldobot, és élvezze a kényelmet és biztonságot, amit nyújt!</t>
        </is>
      </c>
    </row>
    <row r="2281">
      <c r="A2281" s="3" t="inlineStr">
        <is>
          <t>HJR 4-25/1,5</t>
        </is>
      </c>
      <c r="B2281" s="2" t="inlineStr">
        <is>
          <t>Home HJR 4-25/1,5 kábeldob, 25 m, IP20 kivitel, fém talp, H05VV-F 3G1,5 mm2 kábel, max. 3000 W, védőkapcsoló, 4 védőérintkezős aljzat</t>
        </is>
      </c>
      <c r="C2281" s="1" t="n">
        <v>18590.0</v>
      </c>
      <c r="D2281" s="7" t="n">
        <f>HYPERLINK("https://www.somogyi.hu/product/home-hjr-4-25-1-5-kabeldob-25-m-ip20-kivitel-fem-talp-h05vv-f-3g1-5-mm2-kabel-max-3000-w-vedokapcsolo-4-vedoerintkezos-aljzat-hjr-4-25-1-5-13370","https://www.somogyi.hu/product/home-hjr-4-25-1-5-kabeldob-25-m-ip20-kivitel-fem-talp-h05vv-f-3g1-5-mm2-kabel-max-3000-w-vedokapcsolo-4-vedoerintkezos-aljzat-hjr-4-25-1-5-13370")</f>
        <v>0.0</v>
      </c>
      <c r="E2281" s="7" t="n">
        <f>HYPERLINK("https://www.somogyi.hu/data/img/product_main_images/small/13370.jpg","https://www.somogyi.hu/data/img/product_main_images/small/13370.jpg")</f>
        <v>0.0</v>
      </c>
      <c r="F2281" s="2" t="inlineStr">
        <is>
          <t>5999084914561</t>
        </is>
      </c>
      <c r="G2281" s="4" t="inlineStr">
        <is>
          <t>A HJR 4-25/1,5 kábeldob strapabíró kialakításának köszönhetően hosszú távú megoldás lehet a ház körül és otthonában.
A termék masszív fém talppal és 25 m hosszú H05VV-F 3G1,5 mm2 kábellel ellátott, melynek a végén pipa alakú dugó található. Az IP 20 védelem és a túlmelegedés elleni védőkapcsoló további védelmet nyújt használat során.
A kábeldob 4 db 250 V-os védőérintkezős aljzattal ellátott. 
Feltekerve maximum 1000 W-ig, letekerve pedig 3000 W-ig terhelhető.</t>
        </is>
      </c>
    </row>
    <row r="2282">
      <c r="A2282" s="3" t="inlineStr">
        <is>
          <t>HJR 10-25/2,5</t>
        </is>
      </c>
      <c r="B2282" s="2" t="inlineStr">
        <is>
          <t>Home HJR 10-25/2,5 kábeldob, 25 m, fém talp, IP44, H05RR-F 3G 2,5 mm2 gumi kábel, max. 3600 W, 4 aljzat takarófedéllel, védőkapcsoló</t>
        </is>
      </c>
      <c r="C2282" s="1" t="n">
        <v>31590.0</v>
      </c>
      <c r="D2282" s="7" t="n">
        <f>HYPERLINK("https://www.somogyi.hu/product/home-hjr-10-25-2-5-kabeldob-25-m-fem-talp-ip44-h05rr-f-3g-2-5-mm2-gumi-kabel-max-3600-w-4-aljzat-takarofedellel-vedokapcsolo-hjr-10-25-2-5-18306","https://www.somogyi.hu/product/home-hjr-10-25-2-5-kabeldob-25-m-fem-talp-ip44-h05rr-f-3g-2-5-mm2-gumi-kabel-max-3600-w-4-aljzat-takarofedellel-vedokapcsolo-hjr-10-25-2-5-18306")</f>
        <v>0.0</v>
      </c>
      <c r="E2282" s="7" t="n">
        <f>HYPERLINK("https://www.somogyi.hu/data/img/product_main_images/small/18306.jpg","https://www.somogyi.hu/data/img/product_main_images/small/18306.jpg")</f>
        <v>0.0</v>
      </c>
      <c r="F2282" s="2" t="inlineStr">
        <is>
          <t>5999084963286</t>
        </is>
      </c>
      <c r="G2282" s="4" t="inlineStr">
        <is>
          <t>Egy olyan kábeldobot keres, amely kiállja az időjárás viszontagságait és a kültéri munkák igénybevételét is? A Home HJR 10-25/2,5 kábeldob a tökéletes választás az Ön számára!
Ez a kábeldob a H05RN-F, 3G 2.5 mm2 kábellel és IP44 kültéri védettséggel rendelkezik, ami biztosítja, hogy akár a legkeményebb kültéri körülmények között is megbízhatóan használható legyen. A 25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1300 W, letekerve pedig 250 V∼ / max. 3600 W teljesítményre képes. A masszív fém talp és a tartós gumi kábel tovább növeli a termék élettartamát és megbízhatóságát.
Ne hagyja ki ezt a lehetőséget! A Home HJR 10-25/2,5 kábeldob az ideális segítőtárs minden kültéri és beltéri projektjéhez. Szerezze be még ma, és élvezze a megbízható teljesítményt és a kényelmet!</t>
        </is>
      </c>
    </row>
    <row r="2283">
      <c r="A2283" s="3" t="inlineStr">
        <is>
          <t>HJR 24-30</t>
        </is>
      </c>
      <c r="B2283" s="2" t="inlineStr">
        <is>
          <t>Home HJR 24-30 kábeldob, 27 + 3 m, IP20 kivitel, H05VV-F 3G1,0 mm2 kábel, védőkapcsoló, max. 2300 W, fém talp</t>
        </is>
      </c>
      <c r="C2283" s="1" t="n">
        <v>18190.0</v>
      </c>
      <c r="D2283" s="7" t="n">
        <f>HYPERLINK("https://www.somogyi.hu/product/home-hjr-24-30-kabeldob-27-3-m-ip20-kivitel-h05vv-f-3g1-0-mm2-kabel-vedokapcsolo-max-2300-w-fem-talp-hjr-24-30-4955","https://www.somogyi.hu/product/home-hjr-24-30-kabeldob-27-3-m-ip20-kivitel-h05vv-f-3g1-0-mm2-kabel-vedokapcsolo-max-2300-w-fem-talp-hjr-24-30-4955")</f>
        <v>0.0</v>
      </c>
      <c r="E2283" s="7" t="n">
        <f>HYPERLINK("https://www.somogyi.hu/data/img/product_main_images/small/04955.jpg","https://www.somogyi.hu/data/img/product_main_images/small/04955.jpg")</f>
        <v>0.0</v>
      </c>
      <c r="F2283" s="2" t="inlineStr">
        <is>
          <t>5998312743775</t>
        </is>
      </c>
      <c r="G2283" s="4" t="inlineStr">
        <is>
          <t>Keres egy megbízható kábeldobot, ami minden munkához társulhat? A Home HJR 24-30 fém kábeldob nem hagy cserben, legyen szó bármilyen feladatról otthon vagy a munkahelyen.
Ez a kábeldob kiemelkedik az IP20 kivitelű, 27 + 3 méteres H05VV-F 3G1,0 mm2 kábelével, ami rugalmasságot biztosít használata során. Legyen szó feltekert vagy letekert állapotról, 900 W illetve 2300 W maximális terhelhetőséget garantál. A pipa alakú dugó és egyenes lengő aljzat praktikus kialakítása megkönnyíti a használatot, míg a visszaállító gomb segítségével egyszerűen semlegesítheti az aktivált hővédelemet. A dob fém talpa pedig stabil alapot nyújt minden körülmény között.
Válassza a Home HJR 24-30 fém kábeldobot, és bízza a hosszabbítás gondjait egy strapabíró eszközre! Biztonságos, hosszú távú megoldás az energiaellátásra, amely minden igényét kielégíti.</t>
        </is>
      </c>
    </row>
    <row r="2284">
      <c r="A2284" s="3" t="inlineStr">
        <is>
          <t>HJR 3-10</t>
        </is>
      </c>
      <c r="B2284" s="2" t="inlineStr">
        <is>
          <t>Home HJR 3-10 kábeldob, 10 m, IP20 kivitel, műanyag tartó, H05VV-F 3G1,0 mm2 kábel, max. 2300 W, védőkapcsoló, 4 védőérintkezős aljzat</t>
        </is>
      </c>
      <c r="C2284" s="1" t="n">
        <v>6290.0</v>
      </c>
      <c r="D2284" s="7" t="n">
        <f>HYPERLINK("https://www.somogyi.hu/product/home-hjr-3-10-kabeldob-10-m-ip20-kivitel-muanyag-tarto-h05vv-f-3g1-0-mm2-kabel-max-2300-w-vedokapcsolo-4-vedoerintkezos-aljzat-hjr-3-10-4286","https://www.somogyi.hu/product/home-hjr-3-10-kabeldob-10-m-ip20-kivitel-muanyag-tarto-h05vv-f-3g1-0-mm2-kabel-max-2300-w-vedokapcsolo-4-vedoerintkezos-aljzat-hjr-3-10-4286")</f>
        <v>0.0</v>
      </c>
      <c r="E2284" s="7" t="n">
        <f>HYPERLINK("https://www.somogyi.hu/data/img/product_main_images/small/04286.jpg","https://www.somogyi.hu/data/img/product_main_images/small/04286.jpg")</f>
        <v>0.0</v>
      </c>
      <c r="F2284" s="2" t="inlineStr">
        <is>
          <t>5998312709115</t>
        </is>
      </c>
      <c r="G2284" s="4" t="inlineStr">
        <is>
          <t>A HJR 3-10 kábeldob egy strapabíró műanyag tartóval lett ellátva, amelyhez 10 méter hosszú H05VV-F 3G1,0 mm²-es IP20 kivitelben készült kábel tartozik.
A termék előnye, hogy akár feltekerve is használható. A HJR 3-10 kábeldob pipa alakú dugóval és négy védőérintkezős aljzattal rendelkezik, valamint visszaállító gombbal a kioldott hővédelem törléséhez. A termék teljesítménye: 2300 W – letekerve, 1000 W - feltekerve. Válassza a minőségi termékeket és rendeljen webáruházunkból!</t>
        </is>
      </c>
    </row>
    <row r="2285">
      <c r="A2285" s="3" t="inlineStr">
        <is>
          <t>HJR 3-20</t>
        </is>
      </c>
      <c r="B2285" s="2" t="inlineStr">
        <is>
          <t>Home HJR 3-20 kábeldob, 20 m, IP20 kivitel, műanyag tartó, H05VV-F 3G1,0 mm2 kábel, max. 2300 W, védőkapcsoló, 4 védőérintkezős aljzat</t>
        </is>
      </c>
      <c r="C2285" s="1" t="n">
        <v>10390.0</v>
      </c>
      <c r="D2285" s="7" t="n">
        <f>HYPERLINK("https://www.somogyi.hu/product/home-hjr-3-20-kabeldob-20-m-ip20-kivitel-muanyag-tarto-h05vv-f-3g1-0-mm2-kabel-max-2300-w-vedokapcsolo-4-vedoerintkezos-aljzat-hjr-3-20-3213","https://www.somogyi.hu/product/home-hjr-3-20-kabeldob-20-m-ip20-kivitel-muanyag-tarto-h05vv-f-3g1-0-mm2-kabel-max-2300-w-vedokapcsolo-4-vedoerintkezos-aljzat-hjr-3-20-3213")</f>
        <v>0.0</v>
      </c>
      <c r="E2285" s="7" t="n">
        <f>HYPERLINK("https://www.somogyi.hu/data/img/product_main_images/small/03213.jpg","https://www.somogyi.hu/data/img/product_main_images/small/03213.jpg")</f>
        <v>0.0</v>
      </c>
      <c r="F2285" s="2" t="inlineStr">
        <is>
          <t>5998312735374</t>
        </is>
      </c>
      <c r="G2285" s="4" t="inlineStr">
        <is>
          <t>Önnek is ismerős az a probléma, amikor a hosszabbító vezeték sosem elég hosszú? A Home HJR 3-20 kábeldobbal ez többé nem gond! Ez a kábeldob kiválóan alkalmas hosszabbításra, legyen szó otthoni vagy műhelybeli munkákról.
A H05VV-F 3G1,0 mm2 típusú kábellel rendelkező Home HJR 3-20 kábeldob az IP20 védettségének köszönhetően biztonságos használatot nyújt belső terekben. Akár 1000 W teljesítményt is képes kezelni feltekerve, míg letekerve ez a szám 2300 W-ra növekszik. A pipa alakú dugó és négy védőérintkezős aljzat kényelmes csatlakozást biztosít, míg a visszaállító gomb segítségével egyszerűen helyreállítható az aktivált hővédelem. A műanyag tartó pedig megkönnyíti a tárolást és a hordozást.
Válassza a Home HJR 3-20 kábeldobot, és élvezze a megbízható és hosszú távú energiaellátást ahol csak szükséges!</t>
        </is>
      </c>
    </row>
    <row r="2286">
      <c r="A2286" s="3" t="inlineStr">
        <is>
          <t>HJR 400-25</t>
        </is>
      </c>
      <c r="B2286" s="2" t="inlineStr">
        <is>
          <t>Home HJR 400-25 kültéri ipari kábeldob, 25 m, fém talp, IP44-es védelem, H07RN-F 5G2,5 mm2 gumi kábel, 2 db 2P+E és 1 db 3P+N+E aljzattal, védőkapcsoló</t>
        </is>
      </c>
      <c r="C2286" s="1" t="n">
        <v>70590.0</v>
      </c>
      <c r="D2286" s="7" t="n">
        <f>HYPERLINK("https://www.somogyi.hu/product/home-hjr-400-25-kulteri-ipari-kabeldob-25-m-fem-talp-ip44-es-vedelem-h07rn-f-5g2-5-mm2-gumi-kabel-2-db-2p-e-es-1-db-3p-n-e-aljzattal-vedokapcsolo-hjr-400-25-15707","https://www.somogyi.hu/product/home-hjr-400-25-kulteri-ipari-kabeldob-25-m-fem-talp-ip44-es-vedelem-h07rn-f-5g2-5-mm2-gumi-kabel-2-db-2p-e-es-1-db-3p-n-e-aljzattal-vedokapcsolo-hjr-400-25-15707")</f>
        <v>0.0</v>
      </c>
      <c r="E2286" s="7" t="n">
        <f>HYPERLINK("https://www.somogyi.hu/data/img/product_main_images/small/15707.jpg","https://www.somogyi.hu/data/img/product_main_images/small/15707.jpg")</f>
        <v>0.0</v>
      </c>
      <c r="F2286" s="2" t="inlineStr">
        <is>
          <t>5999084937416</t>
        </is>
      </c>
      <c r="G2286" s="4" t="inlineStr">
        <is>
          <t>A HJR 400-25 Kültéri ipari kábeldob strapabíró kialakításának köszönhetően jól alkalmazható építőipari munkálatokhoz, ahol nagyobb áramelletásra van szükség. 
Az IP 44 védelem által kültéren is biztonsággal használható. A túlmelegedés elleni védőkapcsoló további védelmet nyújt használat során. A termék masszív fém talppal és fogantyúval van ellátva, valamint 25 m hosszú H07RN-F 5G2,5 mm2 gumi kábellel szerelt. 
A kábeldob 2 db 2P+E aljzattal és 1 db 3P+N+E aljzattal felszerelt. 
A 2P+E aljzat feltekerve maximum 1200 W, letekerve 3000 W teljesítményt bírnak el a 230 V-os aljzatok.
A 3P+N+E aljzat feltekerve maximum 3600 W, letekerve 9000 W-ot bír el a 400 V-os aljzat.
Elsősorban szakembereknek ajánljuk építőiparba, de akár otthoni felhasználásra is alkalmas.</t>
        </is>
      </c>
    </row>
    <row r="2287">
      <c r="A2287" s="3" t="inlineStr">
        <is>
          <t>HJR 10-40/1,0</t>
        </is>
      </c>
      <c r="B2287" s="2" t="inlineStr">
        <is>
          <t>Home HJR 10-40/1,0 kábeldob, 40 m, fém talp, IP44, H05RR-F 3G 1,0 mm2 gumi kábel, max. 2300 W, 4 aljzat takarófedéllel, védőkapcsoló</t>
        </is>
      </c>
      <c r="C2287" s="1" t="n">
        <v>22590.0</v>
      </c>
      <c r="D2287" s="7" t="n">
        <f>HYPERLINK("https://www.somogyi.hu/product/home-hjr-10-40-1-0-kabeldob-40-m-fem-talp-ip44-h05rr-f-3g-1-0-mm2-gumi-kabel-max-2300-w-4-aljzat-takarofedellel-vedokapcsolo-hjr-10-40-1-0-18305","https://www.somogyi.hu/product/home-hjr-10-40-1-0-kabeldob-40-m-fem-talp-ip44-h05rr-f-3g-1-0-mm2-gumi-kabel-max-2300-w-4-aljzat-takarofedellel-vedokapcsolo-hjr-10-40-1-0-18305")</f>
        <v>0.0</v>
      </c>
      <c r="E2287" s="7" t="n">
        <f>HYPERLINK("https://www.somogyi.hu/data/img/product_main_images/small/18305.jpg","https://www.somogyi.hu/data/img/product_main_images/small/18305.jpg")</f>
        <v>0.0</v>
      </c>
      <c r="F2287" s="2" t="inlineStr">
        <is>
          <t>5999084963279</t>
        </is>
      </c>
      <c r="G2287" s="4" t="inlineStr">
        <is>
          <t>Egy olyan kábeldobot keres, amely kiállja az időjárás viszontagságait és a kültéri munkák igénybevételét is? A Home HJR 10-40/1,0 kábeldob a tökéletes választás az Ön számára!
Ez a kábeldob a H05RN-F, 3G 1.0 mm2 kábellel és IP44 kültéri védettséggel rendelkezik, ami biztosítja, hogy akár a legkeményebb kültéri körülmények között is megbízhatóan használható legyen. A 40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900 W, letekerve pedig 250 V∼ / max. 2300 W teljesítményre képes. A masszív fém talp és a tartós gumi kábel tovább növeli a termék élettartamát és megbízhatóságát.
Ne hagyja ki ezt a lehetőséget! A Home HJR 10-40/1,0 kábeldob az ideális segítőtárs minden kültéri és beltéri projektjéhez. Szerezze be még ma, és élvezze a megbízható teljesítményt és a kényelmet!</t>
        </is>
      </c>
    </row>
    <row r="2288">
      <c r="A2288" s="3" t="inlineStr">
        <is>
          <t>HJR 4-50</t>
        </is>
      </c>
      <c r="B2288" s="2" t="inlineStr">
        <is>
          <t>Home HJR 4-50 kábeldob, 50 m, IP20 kivitel, fém talp, H05VV-F 3G1,5 mm2 kábel, max. 3000 W, védőkapcsoló, 4 védőérintkezős aljzat</t>
        </is>
      </c>
      <c r="C2288" s="1" t="n">
        <v>37190.0</v>
      </c>
      <c r="D2288" s="7" t="n">
        <f>HYPERLINK("https://www.somogyi.hu/product/home-hjr-4-50-kabeldob-50-m-ip20-kivitel-fem-talp-h05vv-f-3g1-5-mm2-kabel-max-3000-w-vedokapcsolo-4-vedoerintkezos-aljzat-hjr-4-50-3242","https://www.somogyi.hu/product/home-hjr-4-50-kabeldob-50-m-ip20-kivitel-fem-talp-h05vv-f-3g1-5-mm2-kabel-max-3000-w-vedokapcsolo-4-vedoerintkezos-aljzat-hjr-4-50-3242")</f>
        <v>0.0</v>
      </c>
      <c r="E2288" s="7" t="n">
        <f>HYPERLINK("https://www.somogyi.hu/data/img/product_main_images/small/03242.jpg","https://www.somogyi.hu/data/img/product_main_images/small/03242.jpg")</f>
        <v>0.0</v>
      </c>
      <c r="F2288" s="2" t="inlineStr">
        <is>
          <t>5998312735664</t>
        </is>
      </c>
      <c r="G2288" s="4" t="inlineStr">
        <is>
          <t>Gondolta volna, hogy egy kábeldob lehet a munkahelyi hatékonyság kulcsa? A Home HJR 4-50 kábeldob nem csupán praktikus, hanem biztonságos és megbízható megoldást kínál hosszabbítók terén.
Fém talpának köszönhetően stabilan áll, míg a 50 méter hosszú H05VV-F 3G1,5 mm2 kábel biztosítja az elektromos eszközök zavartalan energiaellátását, legyen szó akár a kertben, műhelyben való vagy otthoni használatról. A kábeldob feltekerve akár 1000 W, letekerve pedig 3000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4-50 kábeldob nem csak a munkát teszi hatékonyabbá, hanem a biztonságot is növeli. Válassza a Home HJR 4-50 kábeldobot, és szabaduljon meg a rengeteg zavaró hosszabbítótól!</t>
        </is>
      </c>
    </row>
    <row r="2289">
      <c r="A2289" s="6" t="inlineStr">
        <is>
          <t xml:space="preserve">   Villamosság / Kültéri hosszabbító, elosztó</t>
        </is>
      </c>
      <c r="B2289" s="6" t="inlineStr">
        <is>
          <t/>
        </is>
      </c>
      <c r="C2289" s="6" t="inlineStr">
        <is>
          <t/>
        </is>
      </c>
      <c r="D2289" s="6" t="inlineStr">
        <is>
          <t/>
        </is>
      </c>
      <c r="E2289" s="6" t="inlineStr">
        <is>
          <t/>
        </is>
      </c>
      <c r="F2289" s="6" t="inlineStr">
        <is>
          <t/>
        </is>
      </c>
      <c r="G2289" s="6" t="inlineStr">
        <is>
          <t/>
        </is>
      </c>
    </row>
    <row r="2290">
      <c r="A2290" s="3" t="inlineStr">
        <is>
          <t>NV 7-10/GY</t>
        </is>
      </c>
      <c r="B2290" s="2" t="inlineStr">
        <is>
          <t>Home NV 7-10/GY hosszabbító, 10 m, H07RN-F 3G1,5 mm2 kábel, IP44 védelem, zárófedél az aljzaton, gumírozott kábel, 250V~/16A/3500W</t>
        </is>
      </c>
      <c r="C2290" s="1" t="n">
        <v>8690.0</v>
      </c>
      <c r="D2290" s="7" t="n">
        <f>HYPERLINK("https://www.somogyi.hu/product/home-nv-7-10-gy-hosszabbito-10-m-h07rn-f-3g1-5-mm2-kabel-ip44-vedelem-zarofedel-az-aljzaton-gumirozott-kabel-250v-16a-3500w-nv-7-10-gy-8494","https://www.somogyi.hu/product/home-nv-7-10-gy-hosszabbito-10-m-h07rn-f-3g1-5-mm2-kabel-ip44-vedelem-zarofedel-az-aljzaton-gumirozott-kabel-250v-16a-3500w-nv-7-10-gy-8494")</f>
        <v>0.0</v>
      </c>
      <c r="E2290" s="7" t="n">
        <f>HYPERLINK("https://www.somogyi.hu/data/img/product_main_images/small/08494.jpg","https://www.somogyi.hu/data/img/product_main_images/small/08494.jpg")</f>
        <v>0.0</v>
      </c>
      <c r="F2290" s="2" t="inlineStr">
        <is>
          <t>5998312773925</t>
        </is>
      </c>
      <c r="G2290" s="4" t="inlineStr">
        <is>
          <t>Az NV 7-10/GY Hosszabbító 10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291">
      <c r="A2291" s="3" t="inlineStr">
        <is>
          <t>NV 7-20/GY</t>
        </is>
      </c>
      <c r="B2291" s="2" t="inlineStr">
        <is>
          <t>Home NV 7-20/GY hosszabbító, 20 m, H07RN-F 3G1,5 mm2 kábel, IP44 védelem, zárófedél az aljzaton, gumírozott kábel, 250V~/16A/3500W</t>
        </is>
      </c>
      <c r="C2291" s="1" t="n">
        <v>15290.0</v>
      </c>
      <c r="D2291" s="7" t="n">
        <f>HYPERLINK("https://www.somogyi.hu/product/home-nv-7-20-gy-hosszabbito-20-m-h07rn-f-3g1-5-mm2-kabel-ip44-vedelem-zarofedel-az-aljzaton-gumirozott-kabel-250v-16a-3500w-nv-7-20-gy-8495","https://www.somogyi.hu/product/home-nv-7-20-gy-hosszabbito-20-m-h07rn-f-3g1-5-mm2-kabel-ip44-vedelem-zarofedel-az-aljzaton-gumirozott-kabel-250v-16a-3500w-nv-7-20-gy-8495")</f>
        <v>0.0</v>
      </c>
      <c r="E2291" s="7" t="n">
        <f>HYPERLINK("https://www.somogyi.hu/data/img/product_main_images/small/08495.jpg","https://www.somogyi.hu/data/img/product_main_images/small/08495.jpg")</f>
        <v>0.0</v>
      </c>
      <c r="F2291" s="2" t="inlineStr">
        <is>
          <t>5998312773932</t>
        </is>
      </c>
      <c r="G2291" s="4" t="inlineStr">
        <is>
          <t>Az NV 7-20/GY Hosszabbító 20 méter hosszú H07RN-F 3G1,5 mm2 kábellel ellátott. Az IP 44 védelem és a zárófedeles aljzat által kültéren is biztonsággal használható. Maximum 3500 W-ig terhelhető, építkezéseken is használható, a hátóságok által is elfogadott termék.
A ház körül mindig szükség van egy hosszabbítóra, így a legjobb választás ez a strapabíró kültéri kivitel lesz.</t>
        </is>
      </c>
    </row>
    <row r="2292">
      <c r="A2292" s="3" t="inlineStr">
        <is>
          <t>NVO 05K/BK</t>
        </is>
      </c>
      <c r="B2292" s="2" t="inlineStr">
        <is>
          <t>Home NVO 05K/BK hálózati elosztó, 1,5 m, kapcsolós, H05RR-F 3G1,0 mm2, gumikábel, IP44 védelem, 5 aljzat gyermekvédelemmel és zárófedéllel, max. 3500W</t>
        </is>
      </c>
      <c r="C2292" s="1" t="n">
        <v>4090.0</v>
      </c>
      <c r="D2292" s="7" t="n">
        <f>HYPERLINK("https://www.somogyi.hu/product/home-nvo-05k-bk-halozati-eloszto-1-5-m-kapcsolos-h05rr-f-3g1-0-mm2-gumikabel-ip44-vedelem-5-aljzat-gyermekvedelemmel-es-zarofedellel-max-3500w-nvo-05k-bk-8534","https://www.somogyi.hu/product/home-nvo-05k-bk-halozati-eloszto-1-5-m-kapcsolos-h05rr-f-3g1-0-mm2-gumikabel-ip44-vedelem-5-aljzat-gyermekvedelemmel-es-zarofedellel-max-3500w-nvo-05k-bk-8534")</f>
        <v>0.0</v>
      </c>
      <c r="E2292" s="7" t="n">
        <f>HYPERLINK("https://www.somogyi.hu/data/img/product_main_images/small/08534.jpg","https://www.somogyi.hu/data/img/product_main_images/small/08534.jpg")</f>
        <v>0.0</v>
      </c>
      <c r="F2292" s="2" t="inlineStr">
        <is>
          <t>5998312774298</t>
        </is>
      </c>
      <c r="G2292" s="4" t="inlineStr">
        <is>
          <t>Az NVO 05K/BK Hálózati elosztó kapcsolós, masszív, kültéri kivitelben készült 1,5 m hosszú H05RR-F 3G1,0 mm² fekete gumikábellel. A termék IP 44 védettségű, a zárófedeles aljzatok által kültéren is biztonsággal használható. Az elosztó 5 db gyerekvédelemmel ellátott, 250 V-os aljzattal felszerelt. Maximum 3500 W-ig terhelhető.
Legyen körültekintő! Kiemelt jelentősége van annak, hogy kültérre csakis masszív, tömör gumikábellel és zárófedéllel ellátott elosztót vásároljon!</t>
        </is>
      </c>
    </row>
    <row r="2293">
      <c r="A2293" s="3" t="inlineStr">
        <is>
          <t>NV 7-30/GY</t>
        </is>
      </c>
      <c r="B2293" s="2" t="inlineStr">
        <is>
          <t>Home NV 7-30/GY hosszabbító, 30 m, H07RN-F 3G1,5 mm2 kábel, IP44 védelem, zárófedél az aljzaton, gumírozott kábel, 250V~/16A/3500W</t>
        </is>
      </c>
      <c r="C2293" s="1" t="n">
        <v>22890.0</v>
      </c>
      <c r="D2293" s="7" t="n">
        <f>HYPERLINK("https://www.somogyi.hu/product/home-nv-7-30-gy-hosszabbito-30-m-h07rn-f-3g1-5-mm2-kabel-ip44-vedelem-zarofedel-az-aljzaton-gumirozott-kabel-250v-16a-3500w-nv-7-30-gy-8496","https://www.somogyi.hu/product/home-nv-7-30-gy-hosszabbito-30-m-h07rn-f-3g1-5-mm2-kabel-ip44-vedelem-zarofedel-az-aljzaton-gumirozott-kabel-250v-16a-3500w-nv-7-30-gy-8496")</f>
        <v>0.0</v>
      </c>
      <c r="E2293" s="7" t="n">
        <f>HYPERLINK("https://www.somogyi.hu/data/img/product_main_images/small/08496.jpg","https://www.somogyi.hu/data/img/product_main_images/small/08496.jpg")</f>
        <v>0.0</v>
      </c>
      <c r="F2293" s="2" t="inlineStr">
        <is>
          <t>5998312773949</t>
        </is>
      </c>
      <c r="G2293" s="4" t="inlineStr">
        <is>
          <t>Az NV 7-30/GY Hosszabbító 30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294">
      <c r="A2294" s="3" t="inlineStr">
        <is>
          <t>NVO 03K-5/BK/1,5</t>
        </is>
      </c>
      <c r="B2294" s="2" t="inlineStr">
        <is>
          <t>Home NVO 03K-5/BK/1,5 hálózati elosztó, 5 m, kapcsolós, H05RR-F 3G1,5 mm2, gumikábel, IP44 védelem, 3 aljzat gyermekvédelemmel és zárófedéllel, max. 3500W</t>
        </is>
      </c>
      <c r="C2294" s="1" t="n">
        <v>6390.0</v>
      </c>
      <c r="D2294" s="7" t="n">
        <f>HYPERLINK("https://www.somogyi.hu/product/home-nvo-03k-5-bk-1-5-halozati-eloszto-5-m-kapcsolos-h05rr-f-3g1-5-mm2-gumikabel-ip44-vedelem-3-aljzat-gyermekvedelemmel-es-zarofedellel-max-3500w-nvo-03k-5-bk-1-5-16787","https://www.somogyi.hu/product/home-nvo-03k-5-bk-1-5-halozati-eloszto-5-m-kapcsolos-h05rr-f-3g1-5-mm2-gumikabel-ip44-vedelem-3-aljzat-gyermekvedelemmel-es-zarofedellel-max-3500w-nvo-03k-5-bk-1-5-16787")</f>
        <v>0.0</v>
      </c>
      <c r="E2294" s="7" t="n">
        <f>HYPERLINK("https://www.somogyi.hu/data/img/product_main_images/small/16787.jpg","https://www.somogyi.hu/data/img/product_main_images/small/16787.jpg")</f>
        <v>0.0</v>
      </c>
      <c r="F2294" s="2" t="inlineStr">
        <is>
          <t>5999084948191</t>
        </is>
      </c>
      <c r="G2294" s="4" t="inlineStr">
        <is>
          <t>Az NVO 03K-5/BK/1,5 Hálózati elosztó kapcsolós, masszív, kültéri kivitelben készült 5 m hosszú H05RR-F 3G1,5 mm² fekete gumikábellel. A termék IP 44 védettségű, a zárófedeles aljzatok által kültéren is biztonsággal használható. Az elosztó 3 db gyerekvédelemmel ellátott, 250 V-os aljzattal felszerelt. Maximum 3000 W-ig terhelhető.
Legyen körültekintő! Kiemelt jelentősége van annak, hogy kültérre csakis masszív, tömör gumikábellel és zárófedéllel ellátott elosztót vásároljon!</t>
        </is>
      </c>
    </row>
    <row r="2295">
      <c r="A2295" s="3" t="inlineStr">
        <is>
          <t>NVO 03K/BK</t>
        </is>
      </c>
      <c r="B2295" s="2" t="inlineStr">
        <is>
          <t>Home NVO 03K/BK hálózati elosztó, 1,5 m, kapcsolós, H05RR-F 3G1,0 mm2, gumikábel, IP44 védelem, 3 aljzat gyermekvédelemmel és zárófedéllel, max. 3500W</t>
        </is>
      </c>
      <c r="C2295" s="1" t="n">
        <v>3490.0</v>
      </c>
      <c r="D2295" s="7" t="n">
        <f>HYPERLINK("https://www.somogyi.hu/product/home-nvo-03k-bk-halozati-eloszto-1-5-m-kapcsolos-h05rr-f-3g1-0-mm2-gumikabel-ip44-vedelem-3-aljzat-gyermekvedelemmel-es-zarofedellel-max-3500w-nvo-03k-bk-8930","https://www.somogyi.hu/product/home-nvo-03k-bk-halozati-eloszto-1-5-m-kapcsolos-h05rr-f-3g1-0-mm2-gumikabel-ip44-vedelem-3-aljzat-gyermekvedelemmel-es-zarofedellel-max-3500w-nvo-03k-bk-8930")</f>
        <v>0.0</v>
      </c>
      <c r="E2295" s="7" t="n">
        <f>HYPERLINK("https://www.somogyi.hu/data/img/product_main_images/small/08930.jpg","https://www.somogyi.hu/data/img/product_main_images/small/08930.jpg")</f>
        <v>0.0</v>
      </c>
      <c r="F2295" s="2" t="inlineStr">
        <is>
          <t>5998312778104</t>
        </is>
      </c>
      <c r="G2295" s="4" t="inlineStr">
        <is>
          <t>Az NVO 03K/BK Hálózati elosztó kapcsolós, masszív, kültéri kivitelben készült 1,5 m hosszú H05RR-F 3G1,0 mm² fekete gumikábellel. A termék IP 44 védettségű, a zárófedeles aljzatok által kültéren is biztonsággal használható. Az elosztó 3 db gyerekvédelemmel ellátott, 250 V-os aljzattal felszerelt. Maximum 3500 W-ig terhelhető.
Legyen körültekintő! Kiemelt jelentősége van annak, hogy kültérre csakis masszív, tömör gumikábellel és zárófedéllel ellátott elosztót vásároljon!</t>
        </is>
      </c>
    </row>
    <row r="2296">
      <c r="A2296" s="3" t="inlineStr">
        <is>
          <t>NVL 4-5/BK/1,5</t>
        </is>
      </c>
      <c r="B2296" s="2" t="inlineStr">
        <is>
          <t>Home NVL 4-5/BK/1,5 leszúrható kültéri elosztó, 5 m, H07RN-F 3G1,5 mm2 kábel, IP44 védelem,  4 aljzat gyermekvédelemmel, max. 3680W</t>
        </is>
      </c>
      <c r="C2296" s="1" t="n">
        <v>9590.0</v>
      </c>
      <c r="D2296" s="7" t="n">
        <f>HYPERLINK("https://www.somogyi.hu/product/home-nvl-4-5-bk-1-5-leszurhato-kulteri-eloszto-5-m-h07rn-f-3g1-5-mm2-kabel-ip44-vedelem-4-aljzat-gyermekvedelemmel-max-3680w-nvl-4-5-bk-1-5-17573","https://www.somogyi.hu/product/home-nvl-4-5-bk-1-5-leszurhato-kulteri-eloszto-5-m-h07rn-f-3g1-5-mm2-kabel-ip44-vedelem-4-aljzat-gyermekvedelemmel-max-3680w-nvl-4-5-bk-1-5-17573")</f>
        <v>0.0</v>
      </c>
      <c r="E2296" s="7" t="n">
        <f>HYPERLINK("https://www.somogyi.hu/data/img/product_main_images/small/17573.jpg","https://www.somogyi.hu/data/img/product_main_images/small/17573.jpg")</f>
        <v>0.0</v>
      </c>
      <c r="F2296" s="2" t="inlineStr">
        <is>
          <t>5999084955953</t>
        </is>
      </c>
      <c r="G2296" s="4" t="inlineStr">
        <is>
          <t>Kültéri, leszúrható NVL 4-5/BK/1,5 elosztó 4 darab gyermekvédelemmel ellátott zárófedeles aljazot foglal magában. Az elosztó vezetékének hossza 5 méter masszív, tömör gumikábel. Használja bátran az IP44 védelemmel bíró terméket kerti szerszámok üzemeltetésére!</t>
        </is>
      </c>
    </row>
    <row r="2297">
      <c r="A2297" s="3" t="inlineStr">
        <is>
          <t>NV 8V3-25</t>
        </is>
      </c>
      <c r="B2297" s="2" t="inlineStr">
        <is>
          <t>Home NV 8V3-25 kültéri hosszabbító, 25 m, AT-N07V3V3-F 3G1,5 mm2 kábel, IP44 védelem, olaj és UV-álló, -35°C-ig hajlékony, 230 V~/16A/3680W</t>
        </is>
      </c>
      <c r="C2297" s="1" t="n">
        <v>26390.0</v>
      </c>
      <c r="D2297" s="7" t="n">
        <f>HYPERLINK("https://www.somogyi.hu/product/home-nv-8v3-25-kulteri-hosszabbito-25-m-at-n07v3v3-f-3g1-5-mm2-kabel-ip44-vedelem-olaj-es-uv-allo-35-c-ig-hajlekony-230-v-16a-3680w-nv-8v3-25-17773","https://www.somogyi.hu/product/home-nv-8v3-25-kulteri-hosszabbito-25-m-at-n07v3v3-f-3g1-5-mm2-kabel-ip44-vedelem-olaj-es-uv-allo-35-c-ig-hajlekony-230-v-16a-3680w-nv-8v3-25-17773")</f>
        <v>0.0</v>
      </c>
      <c r="E2297" s="7" t="n">
        <f>HYPERLINK("https://www.somogyi.hu/data/img/product_main_images/small/17773.jpg","https://www.somogyi.hu/data/img/product_main_images/small/17773.jpg")</f>
        <v>0.0</v>
      </c>
      <c r="F2297" s="2" t="inlineStr">
        <is>
          <t>5999084957957</t>
        </is>
      </c>
      <c r="G2297" s="4" t="inlineStr">
        <is>
          <t xml:space="preserve"> • vezeték típusa: AT-N07V3V3-F 3G1,5 mm2 
 • vezeték hossza: 25 m 
 • névleges feszültség: 230 V~ 
 • névleges áramerősség: max. 16 A 
 • névleges teljesítmény: max. 3680 W 
 • aljzatok száma: 1 db 
 • IP védettségi fokozat: IP44 
 • szín: sárga 
 • védőföldelés: van</t>
        </is>
      </c>
    </row>
    <row r="2298">
      <c r="A2298" s="3" t="inlineStr">
        <is>
          <t>NV 8V3-15</t>
        </is>
      </c>
      <c r="B2298" s="2" t="inlineStr">
        <is>
          <t>Home NV 8V3-15 kültéri hosszabbító, 15 m, AT-N07V3V3-F 3G1,5 mm2 kábel, IP44 védelem, olaj és UV-álló, -35°C-ig hajlékony, 230 V~/16A/3680W</t>
        </is>
      </c>
      <c r="C2298" s="1" t="n">
        <v>15890.0</v>
      </c>
      <c r="D2298" s="7" t="n">
        <f>HYPERLINK("https://www.somogyi.hu/product/home-nv-8v3-15-kulteri-hosszabbito-15-m-at-n07v3v3-f-3g1-5-mm2-kabel-ip44-vedelem-olaj-es-uv-allo-35-c-ig-hajlekony-230-v-16a-3680w-nv-8v3-15-17772","https://www.somogyi.hu/product/home-nv-8v3-15-kulteri-hosszabbito-15-m-at-n07v3v3-f-3g1-5-mm2-kabel-ip44-vedelem-olaj-es-uv-allo-35-c-ig-hajlekony-230-v-16a-3680w-nv-8v3-15-17772")</f>
        <v>0.0</v>
      </c>
      <c r="E2298" s="7" t="n">
        <f>HYPERLINK("https://www.somogyi.hu/data/img/product_main_images/small/17772.jpg","https://www.somogyi.hu/data/img/product_main_images/small/17772.jpg")</f>
        <v>0.0</v>
      </c>
      <c r="F2298" s="2" t="inlineStr">
        <is>
          <t>5999084957940</t>
        </is>
      </c>
      <c r="G2298" s="4" t="inlineStr">
        <is>
          <t xml:space="preserve"> • vezeték típusa: AT-N07V3V3-F 3G1,5 mm2 
 • vezeték hossza: 15 m 
 • névleges feszültség: 230 V~ 
 • névleges áramerősség: max. 16 A 
 • névleges teljesítmény: max. 3680 W 
 • aljzatok száma: 1 db 
 • IP védettségi fokozat: IP44 
 • szín: sárga 
 • védőföldelés: van</t>
        </is>
      </c>
    </row>
    <row r="2299">
      <c r="A2299" s="3" t="inlineStr">
        <is>
          <t>NVO 05K-5/BK/1,5</t>
        </is>
      </c>
      <c r="B2299" s="2" t="inlineStr">
        <is>
          <t>Home NVO 05K-5/BK/1,5 hálózati elosztó, 5 m, kapcsolós, H05RR-F 3G1,5 mm2, gumikábel, IP44 védelem, 5 aljzat gyermekvédelemmel és zárófedéllel, max. 3500W</t>
        </is>
      </c>
      <c r="C2299" s="1" t="n">
        <v>7190.0</v>
      </c>
      <c r="D2299" s="7" t="n">
        <f>HYPERLINK("https://www.somogyi.hu/product/home-nvo-05k-5-bk-1-5-halozati-eloszto-5-m-kapcsolos-h05rr-f-3g1-5-mm2-gumikabel-ip44-vedelem-5-aljzat-gyermekvedelemmel-es-zarofedellel-max-3500w-nvo-05k-5-bk-1-5-16775","https://www.somogyi.hu/product/home-nvo-05k-5-bk-1-5-halozati-eloszto-5-m-kapcsolos-h05rr-f-3g1-5-mm2-gumikabel-ip44-vedelem-5-aljzat-gyermekvedelemmel-es-zarofedellel-max-3500w-nvo-05k-5-bk-1-5-16775")</f>
        <v>0.0</v>
      </c>
      <c r="E2299" s="7" t="n">
        <f>HYPERLINK("https://www.somogyi.hu/data/img/product_main_images/small/16775.jpg","https://www.somogyi.hu/data/img/product_main_images/small/16775.jpg")</f>
        <v>0.0</v>
      </c>
      <c r="F2299" s="2" t="inlineStr">
        <is>
          <t>5999084948078</t>
        </is>
      </c>
      <c r="G2299" s="4" t="inlineStr">
        <is>
          <t>Az NVO 05K-5/BK/1,5 Hálózati elosztó kapcsolós, masszív, kültéri kivitelben készült 5 m hosszú H05RR-F 3G1,5 mm² fekete gumikábellel. A termék IP 44 védettségű, a zárófedeles aljzatok által kültéren is biztonsággal használható. Az elosztó 5 db gyerekvédelemmel ellátott, 250 V-os aljzattal felszerelt. Maximum 3000 W-ig terhelhető.
Legyen körültekintő! Kiemelt jelentősége van annak, hogy kültérre csakis masszív, tömör gumikábellel és zárófedéllel ellátott elosztót vásároljon!</t>
        </is>
      </c>
    </row>
    <row r="2300">
      <c r="A2300" s="6" t="inlineStr">
        <is>
          <t xml:space="preserve">   Villamosság / Hosszabbító, csatlakozókábel</t>
        </is>
      </c>
      <c r="B2300" s="6" t="inlineStr">
        <is>
          <t/>
        </is>
      </c>
      <c r="C2300" s="6" t="inlineStr">
        <is>
          <t/>
        </is>
      </c>
      <c r="D2300" s="6" t="inlineStr">
        <is>
          <t/>
        </is>
      </c>
      <c r="E2300" s="6" t="inlineStr">
        <is>
          <t/>
        </is>
      </c>
      <c r="F2300" s="6" t="inlineStr">
        <is>
          <t/>
        </is>
      </c>
      <c r="G2300" s="6" t="inlineStr">
        <is>
          <t/>
        </is>
      </c>
    </row>
    <row r="2301">
      <c r="A2301" s="3" t="inlineStr">
        <is>
          <t>NV 2-10/WH/1,5</t>
        </is>
      </c>
      <c r="B2301" s="2" t="inlineStr">
        <is>
          <t>Home NV 2-10/WH/1,5 hosszabító, 10 m, H05VV-F 3G1,5 mm2 kábel, IP 20 kivitel, 250V~/16A/3680W, pipa alakú dugó és egyenes lengő aljzat, fehér színű</t>
        </is>
      </c>
      <c r="C2301" s="1" t="n">
        <v>5390.0</v>
      </c>
      <c r="D2301" s="7" t="n">
        <f>HYPERLINK("https://www.somogyi.hu/product/home-nv-2-10-wh-1-5-hosszabito-10-m-h05vv-f-3g1-5-mm2-kabel-ip-20-kivitel-250v-16a-3680w-pipa-alaku-dugo-es-egyenes-lengo-aljzat-feher-szinu-nv-2-10-wh-1-5-16778","https://www.somogyi.hu/product/home-nv-2-10-wh-1-5-hosszabito-10-m-h05vv-f-3g1-5-mm2-kabel-ip-20-kivitel-250v-16a-3680w-pipa-alaku-dugo-es-egyenes-lengo-aljzat-feher-szinu-nv-2-10-wh-1-5-16778")</f>
        <v>0.0</v>
      </c>
      <c r="E2301" s="7" t="n">
        <f>HYPERLINK("https://www.somogyi.hu/data/img/product_main_images/small/16778.jpg","https://www.somogyi.hu/data/img/product_main_images/small/16778.jpg")</f>
        <v>0.0</v>
      </c>
      <c r="F2301" s="2" t="inlineStr">
        <is>
          <t>5999084948108</t>
        </is>
      </c>
      <c r="G2301" s="4" t="inlineStr">
        <is>
          <t>Az NV 2-10/WH/1,5 Hosszabbító 10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2">
      <c r="A2302" s="3" t="inlineStr">
        <is>
          <t>NV 2-5/WH/1,5</t>
        </is>
      </c>
      <c r="B2302" s="2" t="inlineStr">
        <is>
          <t>Home NV 2-5/WH/1,5 hosszabító, 5 m, H05VV-F 3G1,5 mm2 kábel, IP 20 kivitel, 250V~/16A/3680W, pipa alakú dugó és egyenes lengő aljzat, fehér színű</t>
        </is>
      </c>
      <c r="C2302" s="1" t="n">
        <v>2890.0</v>
      </c>
      <c r="D2302" s="7" t="n">
        <f>HYPERLINK("https://www.somogyi.hu/product/home-nv-2-5-wh-1-5-hosszabito-5-m-h05vv-f-3g1-5-mm2-kabel-ip-20-kivitel-250v-16a-3680w-pipa-alaku-dugo-es-egyenes-lengo-aljzat-feher-szinu-nv-2-5-wh-1-5-16777","https://www.somogyi.hu/product/home-nv-2-5-wh-1-5-hosszabito-5-m-h05vv-f-3g1-5-mm2-kabel-ip-20-kivitel-250v-16a-3680w-pipa-alaku-dugo-es-egyenes-lengo-aljzat-feher-szinu-nv-2-5-wh-1-5-16777")</f>
        <v>0.0</v>
      </c>
      <c r="E2302" s="7" t="n">
        <f>HYPERLINK("https://www.somogyi.hu/data/img/product_main_images/small/16777.jpg","https://www.somogyi.hu/data/img/product_main_images/small/16777.jpg")</f>
        <v>0.0</v>
      </c>
      <c r="F2302" s="2" t="inlineStr">
        <is>
          <t>5999084948092</t>
        </is>
      </c>
      <c r="G2302" s="4" t="inlineStr">
        <is>
          <t>Az NV 2-5/WH/1,5 Hosszabbító 5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3">
      <c r="A2303" s="3" t="inlineStr">
        <is>
          <t>NV 2-3/WH/1,5</t>
        </is>
      </c>
      <c r="B2303" s="2" t="inlineStr">
        <is>
          <t>Home NV 2-3/WH/1,5 hosszabító, 3 m, H05VV-F 3G1,5 mm2 kábel, IP 20 kivitel, 250V~/16A/3680W, pipa alakú dugó és egyenes lengő aljzat, fehér színű</t>
        </is>
      </c>
      <c r="C2303" s="1" t="n">
        <v>1890.0</v>
      </c>
      <c r="D2303" s="7" t="n">
        <f>HYPERLINK("https://www.somogyi.hu/product/home-nv-2-3-wh-1-5-hosszabito-3-m-h05vv-f-3g1-5-mm2-kabel-ip-20-kivitel-250v-16a-3680w-pipa-alaku-dugo-es-egyenes-lengo-aljzat-feher-szinu-nv-2-3-wh-1-5-16776","https://www.somogyi.hu/product/home-nv-2-3-wh-1-5-hosszabito-3-m-h05vv-f-3g1-5-mm2-kabel-ip-20-kivitel-250v-16a-3680w-pipa-alaku-dugo-es-egyenes-lengo-aljzat-feher-szinu-nv-2-3-wh-1-5-16776")</f>
        <v>0.0</v>
      </c>
      <c r="E2303" s="7" t="n">
        <f>HYPERLINK("https://www.somogyi.hu/data/img/product_main_images/small/16776.jpg","https://www.somogyi.hu/data/img/product_main_images/small/16776.jpg")</f>
        <v>0.0</v>
      </c>
      <c r="F2303" s="2" t="inlineStr">
        <is>
          <t>5999084948085</t>
        </is>
      </c>
      <c r="G2303" s="4" t="inlineStr">
        <is>
          <t>Az NV 2-3/WH/1,5 Hosszabbító 3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4">
      <c r="A2304" s="3" t="inlineStr">
        <is>
          <t>NV 12-5/WH</t>
        </is>
      </c>
      <c r="B2304" s="2" t="inlineStr">
        <is>
          <t>Home NV 12-5/WH EURO kéteres hosszabbító, 5 m,  H03VVH2-F 2x0,75 mm2 kábel, 250V~/2,5A/max.575W, fehér színű</t>
        </is>
      </c>
      <c r="C2304" s="1" t="n">
        <v>2290.0</v>
      </c>
      <c r="D2304" s="7" t="n">
        <f>HYPERLINK("https://www.somogyi.hu/product/home-nv-12-5-wh-euro-keteres-hosszabbito-5-m-h03vvh2-f-2x0-75-mm2-kabel-250v-2-5a-max-575w-feher-szinu-nv-12-5-wh-17570","https://www.somogyi.hu/product/home-nv-12-5-wh-euro-keteres-hosszabbito-5-m-h03vvh2-f-2x0-75-mm2-kabel-250v-2-5a-max-575w-feher-szinu-nv-12-5-wh-17570")</f>
        <v>0.0</v>
      </c>
      <c r="E2304" s="7" t="n">
        <f>HYPERLINK("https://www.somogyi.hu/data/img/product_main_images/small/17570.jpg","https://www.somogyi.hu/data/img/product_main_images/small/17570.jpg")</f>
        <v>0.0</v>
      </c>
      <c r="F2304" s="2" t="inlineStr">
        <is>
          <t>5999084955922</t>
        </is>
      </c>
      <c r="G2304" s="4" t="inlineStr">
        <is>
          <t xml:space="preserve"> • szín: fehér 
 • védőföldelés: nincs 
 • vezeték típusa: H03VVH2-F 2x0,75 mm2 kábel 
 • vezeték hossza: 5 m 
 • névleges feszültség: 250 V~ 
 • névleges áramerősség: 2,5 A 
 • névleges teljesítmény: max. 575 W 
 • aljzatok száma: 1 db</t>
        </is>
      </c>
    </row>
    <row r="2305">
      <c r="A2305" s="3" t="inlineStr">
        <is>
          <t>NV 2-20/OR/1,5</t>
        </is>
      </c>
      <c r="B2305" s="2" t="inlineStr">
        <is>
          <t>Home NV 2-20/OR/1,5 hosszabbító, 20 m, H05VV-F 3G1,5 mm2 kábel, IP 20 kivitel, 250V~/16A/3680W, pipa alakú dugó és egyenes lengő aljzat, narancssárga színű</t>
        </is>
      </c>
      <c r="C2305" s="1" t="n">
        <v>9790.0</v>
      </c>
      <c r="D2305" s="7" t="n">
        <f>HYPERLINK("https://www.somogyi.hu/product/home-nv-2-20-or-1-5-hosszabbito-20-m-h05vv-f-3g1-5-mm2-kabel-ip-20-kivitel-250v-16a-3680w-pipa-alaku-dugo-es-egyenes-lengo-aljzat-narancssarga-szinu-nv-2-20-or-1-5-13368","https://www.somogyi.hu/product/home-nv-2-20-or-1-5-hosszabbito-20-m-h05vv-f-3g1-5-mm2-kabel-ip-20-kivitel-250v-16a-3680w-pipa-alaku-dugo-es-egyenes-lengo-aljzat-narancssarga-szinu-nv-2-20-or-1-5-13368")</f>
        <v>0.0</v>
      </c>
      <c r="E2305" s="7" t="n">
        <f>HYPERLINK("https://www.somogyi.hu/data/img/product_main_images/small/13368.jpg","https://www.somogyi.hu/data/img/product_main_images/small/13368.jpg")</f>
        <v>0.0</v>
      </c>
      <c r="F2305" s="2" t="inlineStr">
        <is>
          <t>5999084914547</t>
        </is>
      </c>
      <c r="G2305" s="4" t="inlineStr">
        <is>
          <t>Egy megbízható és praktikus hosszabbítót keres otthoni használatra? A Home NV 2-20/OR/1,5 hosszabbító ideális választás, ha hosszú és kényelmesen használható elektromos csatlakozást szeretne biztosítani.
Ez a hosszabbító 20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2-20/OR/1,5 hosszabbítót, ha egy megbízható, biztonságos és hosszú távú elektromos megoldást keres otthonába. Rendelje meg most, és élvezze a kényelmet és rugalmasságot, amit ez a hosszabbító nyújt!</t>
        </is>
      </c>
    </row>
    <row r="2306">
      <c r="A2306" s="3" t="inlineStr">
        <is>
          <t>NV 4-30/OR/1,5</t>
        </is>
      </c>
      <c r="B2306" s="2" t="inlineStr">
        <is>
          <t>Home NV 4-30/OR/1,5 kéteres hosszabbító, 30 m, H05VV-F 2 x 1,5 mm2 kábel, IP 20 kivitel, 250V~/16A/3680W, narancssárga színű</t>
        </is>
      </c>
      <c r="C2306" s="1" t="n">
        <v>10690.0</v>
      </c>
      <c r="D2306" s="7" t="n">
        <f>HYPERLINK("https://www.somogyi.hu/product/home-nv-4-30-or-1-5-keteres-hosszabbito-30-m-h05vv-f-2-x-1-5-mm2-kabel-ip-20-kivitel-250v-16a-3680w-narancssarga-szinu-nv-4-30-or-1-5-17502","https://www.somogyi.hu/product/home-nv-4-30-or-1-5-keteres-hosszabbito-30-m-h05vv-f-2-x-1-5-mm2-kabel-ip-20-kivitel-250v-16a-3680w-narancssarga-szinu-nv-4-30-or-1-5-17502")</f>
        <v>0.0</v>
      </c>
      <c r="E2306" s="7" t="n">
        <f>HYPERLINK("https://www.somogyi.hu/data/img/product_main_images/small/17502.jpg","https://www.somogyi.hu/data/img/product_main_images/small/17502.jpg")</f>
        <v>0.0</v>
      </c>
      <c r="F2306" s="2" t="inlineStr">
        <is>
          <t>5999084955243</t>
        </is>
      </c>
      <c r="G2306" s="4" t="inlineStr">
        <is>
          <t xml:space="preserve"> • szín: narancs 
 • védőföldelés: nincs 
 • vezeték típusa: H05VV-F 2 x 1,5 mm² 
 • vezeték hossza: 30 m 
 • névleges feszültség: 250 V~ 
 • névleges áramerősség: max. 16 A 
 • névleges teljesítmény: max. 3680 W 
 • aljzatok száma: 1 db</t>
        </is>
      </c>
    </row>
    <row r="2307">
      <c r="A2307" s="3" t="inlineStr">
        <is>
          <t>NV 4-20/OR/1,5</t>
        </is>
      </c>
      <c r="B2307" s="2" t="inlineStr">
        <is>
          <t>Home NV 4-20/OR/1,5 kéteres hosszabbító, 20 m, H05VV-F 2 x 1,5 mm2 kábel, IP 20 kivitel, 250V~/16A/3680W, narancssárga színű</t>
        </is>
      </c>
      <c r="C2307" s="1" t="n">
        <v>7290.0</v>
      </c>
      <c r="D2307" s="7" t="n">
        <f>HYPERLINK("https://www.somogyi.hu/product/home-nv-4-20-or-1-5-keteres-hosszabbito-20-m-h05vv-f-2-x-1-5-mm2-kabel-ip-20-kivitel-250v-16a-3680w-narancssarga-szinu-nv-4-20-or-1-5-17501","https://www.somogyi.hu/product/home-nv-4-20-or-1-5-keteres-hosszabbito-20-m-h05vv-f-2-x-1-5-mm2-kabel-ip-20-kivitel-250v-16a-3680w-narancssarga-szinu-nv-4-20-or-1-5-17501")</f>
        <v>0.0</v>
      </c>
      <c r="E2307" s="7" t="n">
        <f>HYPERLINK("https://www.somogyi.hu/data/img/product_main_images/small/17501.jpg","https://www.somogyi.hu/data/img/product_main_images/small/17501.jpg")</f>
        <v>0.0</v>
      </c>
      <c r="F2307" s="2" t="inlineStr">
        <is>
          <t>5999084955236</t>
        </is>
      </c>
      <c r="G2307" s="4" t="inlineStr">
        <is>
          <t xml:space="preserve"> • szín: narancs 
 • védőföldelés: nincs 
 • vezeték típusa: H05VV-F 2 x 1,5 mm² 
 • vezeték hossza: 20 m 
 • névleges feszültség: 250 V~ 
 • névleges áramerősség: max. 16 A 
 • névleges teljesítmény: 3680 W 
 • aljzatok száma: 1 db</t>
        </is>
      </c>
    </row>
    <row r="2308">
      <c r="A2308" s="3" t="inlineStr">
        <is>
          <t>NV 2-10/OR/1,5</t>
        </is>
      </c>
      <c r="B2308" s="2" t="inlineStr">
        <is>
          <t>Home NV 2-10/OR/1,5 hosszabító, 10 m, H05VV-F 3G1,5 mm2 kábel, IP 20 kivitel, 250V~/16A/3680W, pipa alakú dugó és egyenes lengő aljzat, narancssárga színű</t>
        </is>
      </c>
      <c r="C2308" s="1" t="n">
        <v>5390.0</v>
      </c>
      <c r="D2308" s="7" t="n">
        <f>HYPERLINK("https://www.somogyi.hu/product/home-nv-2-10-or-1-5-hosszabito-10-m-h05vv-f-3g1-5-mm2-kabel-ip-20-kivitel-250v-16a-3680w-pipa-alaku-dugo-es-egyenes-lengo-aljzat-narancssarga-szinu-nv-2-10-or-1-5-13367","https://www.somogyi.hu/product/home-nv-2-10-or-1-5-hosszabito-10-m-h05vv-f-3g1-5-mm2-kabel-ip-20-kivitel-250v-16a-3680w-pipa-alaku-dugo-es-egyenes-lengo-aljzat-narancssarga-szinu-nv-2-10-or-1-5-13367")</f>
        <v>0.0</v>
      </c>
      <c r="E2308" s="7" t="n">
        <f>HYPERLINK("https://www.somogyi.hu/data/img/product_main_images/small/13367.jpg","https://www.somogyi.hu/data/img/product_main_images/small/13367.jpg")</f>
        <v>0.0</v>
      </c>
      <c r="F2308" s="2" t="inlineStr">
        <is>
          <t>5999084914530</t>
        </is>
      </c>
      <c r="G2308" s="4" t="inlineStr">
        <is>
          <t>Egy megbízható és praktikus hosszabbítót keres otthoni használatra? A Home NV 2-10/OR/1,5 hosszabbító ideális választás, ha hosszú és kényelmesen használható elektromos csatlakozást szeretne biztosítani.
Ez a hosszabbító egy 10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2-10/OR/1,5 hosszabbítót, ha egy megbízható, biztonságos és hosszú távú elektromos megoldást keres otthonába. Rendelje meg most, és élvezze a kényelmet és rugalmasságot, amit ez a hosszabbító nyújt!</t>
        </is>
      </c>
    </row>
    <row r="2309">
      <c r="A2309" s="3" t="inlineStr">
        <is>
          <t>NV 4-10/OR/1,5</t>
        </is>
      </c>
      <c r="B2309" s="2" t="inlineStr">
        <is>
          <t>Home NV 4-10/OR/1,5 kéteres hosszabbító, 10 m, H05VV-F 2 x 1,5 mm2 kábel, IP 20 kivitel, 250V~/16A/3680W, narancssárga színű</t>
        </is>
      </c>
      <c r="C2309" s="1" t="n">
        <v>3990.0</v>
      </c>
      <c r="D2309" s="7" t="n">
        <f>HYPERLINK("https://www.somogyi.hu/product/home-nv-4-10-or-1-5-keteres-hosszabbito-10-m-h05vv-f-2-x-1-5-mm2-kabel-ip-20-kivitel-250v-16a-3680w-narancssarga-szinu-nv-4-10-or-1-5-17500","https://www.somogyi.hu/product/home-nv-4-10-or-1-5-keteres-hosszabbito-10-m-h05vv-f-2-x-1-5-mm2-kabel-ip-20-kivitel-250v-16a-3680w-narancssarga-szinu-nv-4-10-or-1-5-17500")</f>
        <v>0.0</v>
      </c>
      <c r="E2309" s="7" t="n">
        <f>HYPERLINK("https://www.somogyi.hu/data/img/product_main_images/small/17500.jpg","https://www.somogyi.hu/data/img/product_main_images/small/17500.jpg")</f>
        <v>0.0</v>
      </c>
      <c r="F2309" s="2" t="inlineStr">
        <is>
          <t>5999084955229</t>
        </is>
      </c>
      <c r="G2309" s="4" t="inlineStr">
        <is>
          <t xml:space="preserve"> • szín: narancs 
 • védőföldelés: nincs 
 • vezeték típusa: H05VV-F 2 x 1,5 mm² 
 • vezeték hossza: 10 m 
 • névleges feszültség: 250 V~ 
 • névleges áramerősség: max. 16 A 
 • névleges teljesítmény: 3680 W 
 • aljzatok száma: 1 db</t>
        </is>
      </c>
    </row>
    <row r="2310">
      <c r="A2310" s="3" t="inlineStr">
        <is>
          <t>NV 2-10/GR/1,5</t>
        </is>
      </c>
      <c r="B2310" s="2" t="inlineStr">
        <is>
          <t>Home NV 2-10/GR/1,5 hosszabbító, 10 m, H05VV-F 3G1,5 mm2 kábel, IP 20 kivitel, 250V~/16A/3680W, pipa alakú dugó és egyenes lengő aljzat, zöld színű</t>
        </is>
      </c>
      <c r="C2310" s="1" t="n">
        <v>6690.0</v>
      </c>
      <c r="D2310" s="7" t="n">
        <f>HYPERLINK("https://www.somogyi.hu/product/home-nv-2-10-gr-1-5-hosszabbito-10-m-h05vv-f-3g1-5-mm2-kabel-ip-20-kivitel-250v-16a-3680w-pipa-alaku-dugo-es-egyenes-lengo-aljzat-zold-szinu-nv-2-10-gr-1-5-17163","https://www.somogyi.hu/product/home-nv-2-10-gr-1-5-hosszabbito-10-m-h05vv-f-3g1-5-mm2-kabel-ip-20-kivitel-250v-16a-3680w-pipa-alaku-dugo-es-egyenes-lengo-aljzat-zold-szinu-nv-2-10-gr-1-5-17163")</f>
        <v>0.0</v>
      </c>
      <c r="E2310" s="7" t="n">
        <f>HYPERLINK("https://www.somogyi.hu/data/img/product_main_images/small/17163.jpg","https://www.somogyi.hu/data/img/product_main_images/small/17163.jpg")</f>
        <v>0.0</v>
      </c>
      <c r="F2310" s="2" t="inlineStr">
        <is>
          <t>5999084951955</t>
        </is>
      </c>
      <c r="G2310" s="4" t="inlineStr">
        <is>
          <t>Az NV 2-10/GR/1,5 Hosszabbító 10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311">
      <c r="A2311" s="3" t="inlineStr">
        <is>
          <t>NV 2-20/WH/1,5</t>
        </is>
      </c>
      <c r="B2311" s="2" t="inlineStr">
        <is>
          <t>Home NV 2-20/WH/1,5 hosszabító, 20 m, H05VV-F 3G1,5 mm2 kábel, IP 20 kivitel, 250V~/16A/3680W, pipa alakú dugó és egyenes lengő aljzat, fehér színű</t>
        </is>
      </c>
      <c r="C2311" s="1" t="n">
        <v>9790.0</v>
      </c>
      <c r="D2311" s="7" t="n">
        <f>HYPERLINK("https://www.somogyi.hu/product/home-nv-2-20-wh-1-5-hosszabito-20-m-h05vv-f-3g1-5-mm2-kabel-ip-20-kivitel-250v-16a-3680w-pipa-alaku-dugo-es-egyenes-lengo-aljzat-feher-szinu-nv-2-20-wh-1-5-17164","https://www.somogyi.hu/product/home-nv-2-20-wh-1-5-hosszabito-20-m-h05vv-f-3g1-5-mm2-kabel-ip-20-kivitel-250v-16a-3680w-pipa-alaku-dugo-es-egyenes-lengo-aljzat-feher-szinu-nv-2-20-wh-1-5-17164")</f>
        <v>0.0</v>
      </c>
      <c r="E2311" s="7" t="n">
        <f>HYPERLINK("https://www.somogyi.hu/data/img/product_main_images/small/17164.jpg","https://www.somogyi.hu/data/img/product_main_images/small/17164.jpg")</f>
        <v>0.0</v>
      </c>
      <c r="F2311" s="2" t="inlineStr">
        <is>
          <t>5999084951962</t>
        </is>
      </c>
      <c r="G2311" s="4" t="inlineStr">
        <is>
          <t>Az NV 2-20/WH/1,5 Hosszabbító 20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12">
      <c r="A2312" s="3" t="inlineStr">
        <is>
          <t>NV 2-5/GR/1,5</t>
        </is>
      </c>
      <c r="B2312" s="2" t="inlineStr">
        <is>
          <t>Home NV 2-5/GR/1,5 hosszabbító, 5 m, H05VV-F 3G1,5 mm2 kábel, IP 20 kivitel, 250V~/16A/3680W, pipa alakú dugó és egyenes lengő aljzat, zöld színű</t>
        </is>
      </c>
      <c r="C2312" s="1" t="n">
        <v>3790.0</v>
      </c>
      <c r="D2312" s="7" t="n">
        <f>HYPERLINK("https://www.somogyi.hu/product/home-nv-2-5-gr-1-5-hosszabbito-5-m-h05vv-f-3g1-5-mm2-kabel-ip-20-kivitel-250v-16a-3680w-pipa-alaku-dugo-es-egyenes-lengo-aljzat-zold-szinu-nv-2-5-gr-1-5-17165","https://www.somogyi.hu/product/home-nv-2-5-gr-1-5-hosszabbito-5-m-h05vv-f-3g1-5-mm2-kabel-ip-20-kivitel-250v-16a-3680w-pipa-alaku-dugo-es-egyenes-lengo-aljzat-zold-szinu-nv-2-5-gr-1-5-17165")</f>
        <v>0.0</v>
      </c>
      <c r="E2312" s="7" t="n">
        <f>HYPERLINK("https://www.somogyi.hu/data/img/product_main_images/small/17165.jpg","https://www.somogyi.hu/data/img/product_main_images/small/17165.jpg")</f>
        <v>0.0</v>
      </c>
      <c r="F2312" s="2" t="inlineStr">
        <is>
          <t>5999084951979</t>
        </is>
      </c>
      <c r="G2312" s="4" t="inlineStr">
        <is>
          <t>Az NV 2-5/GR/1,5 Hosszabbító 5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313">
      <c r="A2313" s="3" t="inlineStr">
        <is>
          <t>NV 2-30/OR/1,5</t>
        </is>
      </c>
      <c r="B2313" s="2" t="inlineStr">
        <is>
          <t>Home NV 2-30/OR/1,5 hosszabító, 30 m, H05VV-F 3G1,5 mm2 kábel, IP 20 kivitel, 250V~/16A/3680W, pipa alakú dugó és egyenes lengő aljzat, narancssárga színű</t>
        </is>
      </c>
      <c r="C2313" s="1" t="n">
        <v>14390.0</v>
      </c>
      <c r="D2313" s="7" t="n">
        <f>HYPERLINK("https://www.somogyi.hu/product/home-nv-2-30-or-1-5-hosszabito-30-m-h05vv-f-3g1-5-mm2-kabel-ip-20-kivitel-250v-16a-3680w-pipa-alaku-dugo-es-egyenes-lengo-aljzat-narancssarga-szinu-nv-2-30-or-1-5-13369","https://www.somogyi.hu/product/home-nv-2-30-or-1-5-hosszabito-30-m-h05vv-f-3g1-5-mm2-kabel-ip-20-kivitel-250v-16a-3680w-pipa-alaku-dugo-es-egyenes-lengo-aljzat-narancssarga-szinu-nv-2-30-or-1-5-13369")</f>
        <v>0.0</v>
      </c>
      <c r="E2313" s="7" t="n">
        <f>HYPERLINK("https://www.somogyi.hu/data/img/product_main_images/small/13369.jpg","https://www.somogyi.hu/data/img/product_main_images/small/13369.jpg")</f>
        <v>0.0</v>
      </c>
      <c r="F2313" s="2" t="inlineStr">
        <is>
          <t>5999084914554</t>
        </is>
      </c>
      <c r="G2313" s="4" t="inlineStr">
        <is>
          <t>Egy megbízható és praktikus hosszabbítót keres otthoni használatra? A Home NV 2-30/OR/1,5 hosszabbító ideális választás, ha hosszú és kényelmesen használható elektromos csatlakozást szeretne biztosítani.
Ez a hosszabbító 30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2-30/OR/1,5 hosszabbítót, ha egy megbízható, biztonságos és hosszú távú elektromos megoldást keres otthonába. Rendelje meg most, és élvezze a kényelmet és rugalmasságot, amit ez a hosszabbító nyújt!</t>
        </is>
      </c>
    </row>
    <row r="2314">
      <c r="A2314" s="3" t="inlineStr">
        <is>
          <t>NV 2-30/WH/1,5</t>
        </is>
      </c>
      <c r="B2314" s="2" t="inlineStr">
        <is>
          <t>Home NV 2-30/WH/1,5 hosszabbító, 30 m, H05VV-F 3G1,5 mm2 kábel, IP 20 kivitel, 250V~/16A/3680W, pipa alakú dugó és egyenes lengő aljzat, fehér színű</t>
        </is>
      </c>
      <c r="C2314" s="1" t="n">
        <v>14390.0</v>
      </c>
      <c r="D2314" s="7" t="n">
        <f>HYPERLINK("https://www.somogyi.hu/product/home-nv-2-30-wh-1-5-hosszabbito-30-m-h05vv-f-3g1-5-mm2-kabel-ip-20-kivitel-250v-16a-3680w-pipa-alaku-dugo-es-egyenes-lengo-aljzat-feher-szinu-nv-2-30-wh-1-5-17166","https://www.somogyi.hu/product/home-nv-2-30-wh-1-5-hosszabbito-30-m-h05vv-f-3g1-5-mm2-kabel-ip-20-kivitel-250v-16a-3680w-pipa-alaku-dugo-es-egyenes-lengo-aljzat-feher-szinu-nv-2-30-wh-1-5-17166")</f>
        <v>0.0</v>
      </c>
      <c r="E2314" s="7" t="n">
        <f>HYPERLINK("https://www.somogyi.hu/data/img/product_main_images/small/17166.jpg","https://www.somogyi.hu/data/img/product_main_images/small/17166.jpg")</f>
        <v>0.0</v>
      </c>
      <c r="F2314" s="2" t="inlineStr">
        <is>
          <t>5999084951986</t>
        </is>
      </c>
      <c r="G2314" s="4" t="inlineStr">
        <is>
          <t>Az NV 2-30/WH/1,5 Hosszabbító 30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15">
      <c r="A2315" s="3" t="inlineStr">
        <is>
          <t>NV 2-5/OR/1,5</t>
        </is>
      </c>
      <c r="B2315" s="2" t="inlineStr">
        <is>
          <t>Home NV 2-5/OR/1,5 hosszabító, 5 m, H05VV-F 3G1,5 mm2 kábel, IP 20 kivitel, 250V~/16A/3680W, pipa alakú dugó és egyenes lengő aljzat, narancssárga színű</t>
        </is>
      </c>
      <c r="C2315" s="1" t="n">
        <v>2890.0</v>
      </c>
      <c r="D2315" s="7" t="n">
        <f>HYPERLINK("https://www.somogyi.hu/product/home-nv-2-5-or-1-5-hosszabito-5-m-h05vv-f-3g1-5-mm2-kabel-ip-20-kivitel-250v-16a-3680w-pipa-alaku-dugo-es-egyenes-lengo-aljzat-narancssarga-szinu-nv-2-5-or-1-5-17167","https://www.somogyi.hu/product/home-nv-2-5-or-1-5-hosszabito-5-m-h05vv-f-3g1-5-mm2-kabel-ip-20-kivitel-250v-16a-3680w-pipa-alaku-dugo-es-egyenes-lengo-aljzat-narancssarga-szinu-nv-2-5-or-1-5-17167")</f>
        <v>0.0</v>
      </c>
      <c r="E2315" s="7" t="n">
        <f>HYPERLINK("https://www.somogyi.hu/data/img/product_main_images/small/17167.jpg","https://www.somogyi.hu/data/img/product_main_images/small/17167.jpg")</f>
        <v>0.0</v>
      </c>
      <c r="F2315" s="2" t="inlineStr">
        <is>
          <t>5999084951993</t>
        </is>
      </c>
      <c r="G2315" s="4" t="inlineStr">
        <is>
          <t>Egy megbízható és praktikus hosszabbítót keres otthoni használatra? A Home NV 2-5/OR/1,5 hosszabbító ideális választás, ha hosszú és kényelmesen használható elektromos csatlakozást szeretne biztosítani.
Ez a hosszabbító 5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NV 2-5/OR/1,5 hosszabbítót, ha egy megbízható, biztonságos és hosszú távú elektromos megoldást keres otthonába. Rendelje meg most, és élvezze a kényelmet és rugalmasságot, amit ez a hosszabbító nyújt!</t>
        </is>
      </c>
    </row>
    <row r="2316">
      <c r="A2316" s="3" t="inlineStr">
        <is>
          <t>NV 12-5/BK</t>
        </is>
      </c>
      <c r="B2316" s="2" t="inlineStr">
        <is>
          <t>Home NV 12-5/BK EURO kéteres hosszabbító, 5 m,  H03VVH2-F 2x0,75 mm2 kábel, 250V~/2,5A/max.575W, fekete színű</t>
        </is>
      </c>
      <c r="C2316" s="1" t="n">
        <v>2290.0</v>
      </c>
      <c r="D2316" s="7" t="n">
        <f>HYPERLINK("https://www.somogyi.hu/product/home-nv-12-5-bk-euro-keteres-hosszabbito-5-m-h03vvh2-f-2x0-75-mm2-kabel-250v-2-5a-max-575w-fekete-szinu-nv-12-5-bk-17571","https://www.somogyi.hu/product/home-nv-12-5-bk-euro-keteres-hosszabbito-5-m-h03vvh2-f-2x0-75-mm2-kabel-250v-2-5a-max-575w-fekete-szinu-nv-12-5-bk-17571")</f>
        <v>0.0</v>
      </c>
      <c r="E2316" s="7" t="n">
        <f>HYPERLINK("https://www.somogyi.hu/data/img/product_main_images/small/17571.jpg","https://www.somogyi.hu/data/img/product_main_images/small/17571.jpg")</f>
        <v>0.0</v>
      </c>
      <c r="F2316" s="2" t="inlineStr">
        <is>
          <t>5999084955939</t>
        </is>
      </c>
      <c r="G2316" s="4" t="inlineStr">
        <is>
          <t xml:space="preserve"> • szín: fekete 
 • védőföldelés: nincs 
 • vezeték típusa: H03VVH2-F 2x0,75 mm2 kábel 
 • vezeték hossza: 5 m 
 • névleges feszültség: 250 V~ 
 • névleges áramerősség: 2,5 A 
 • névleges teljesítmény: max. 575 W 
 • aljzatok száma: 1 db</t>
        </is>
      </c>
    </row>
    <row r="2317">
      <c r="A2317" s="3" t="inlineStr">
        <is>
          <t>NV CR</t>
        </is>
      </c>
      <c r="B2317" s="2" t="inlineStr">
        <is>
          <t>Home NV CR vezetékrendező hosszabbítóhoz, max. 30 m hosszabbító feltekerésére, kényelmes fogantyú, rögzíthető csatlakozódugó, felakasztható</t>
        </is>
      </c>
      <c r="C2317" s="1" t="n">
        <v>1350.0</v>
      </c>
      <c r="D2317" s="7" t="n">
        <f>HYPERLINK("https://www.somogyi.hu/product/home-nv-cr-vezetekrendezo-hosszabbitohoz-max-30-m-hosszabbito-feltekeresere-kenyelmes-fogantyu-rogzitheto-csatlakozodugo-felakaszthato-nv-cr-17572","https://www.somogyi.hu/product/home-nv-cr-vezetekrendezo-hosszabbitohoz-max-30-m-hosszabbito-feltekeresere-kenyelmes-fogantyu-rogzitheto-csatlakozodugo-felakaszthato-nv-cr-17572")</f>
        <v>0.0</v>
      </c>
      <c r="E2317" s="7" t="n">
        <f>HYPERLINK("https://www.somogyi.hu/data/img/product_main_images/small/17572.jpg","https://www.somogyi.hu/data/img/product_main_images/small/17572.jpg")</f>
        <v>0.0</v>
      </c>
      <c r="F2317" s="2" t="inlineStr">
        <is>
          <t>5999084955946</t>
        </is>
      </c>
      <c r="G2317" s="4" t="inlineStr">
        <is>
          <t xml:space="preserve"> • szín: kék 
 • vezeték hossza: 30 m hosszabbító feltekerésére alkalmas 
 • méret: 35 x 16,5 x 8 cm</t>
        </is>
      </c>
    </row>
    <row r="2318">
      <c r="A2318" s="6" t="inlineStr">
        <is>
          <t xml:space="preserve">   Villamosság / Szerelhető elosztó</t>
        </is>
      </c>
      <c r="B2318" s="6" t="inlineStr">
        <is>
          <t/>
        </is>
      </c>
      <c r="C2318" s="6" t="inlineStr">
        <is>
          <t/>
        </is>
      </c>
      <c r="D2318" s="6" t="inlineStr">
        <is>
          <t/>
        </is>
      </c>
      <c r="E2318" s="6" t="inlineStr">
        <is>
          <t/>
        </is>
      </c>
      <c r="F2318" s="6" t="inlineStr">
        <is>
          <t/>
        </is>
      </c>
      <c r="G2318" s="6" t="inlineStr">
        <is>
          <t/>
        </is>
      </c>
    </row>
    <row r="2319">
      <c r="A2319" s="3" t="inlineStr">
        <is>
          <t>KNV 04</t>
        </is>
      </c>
      <c r="B2319" s="2" t="inlineStr">
        <is>
          <t>Home KNV 04 szerelhető konyhai hálózati elosztó, 3 védőérintkezős aljzat, rozsdamentes acél, felszerelés sarokba is, max. 3680W</t>
        </is>
      </c>
      <c r="C2319" s="1" t="n">
        <v>9790.0</v>
      </c>
      <c r="D2319" s="7" t="n">
        <f>HYPERLINK("https://www.somogyi.hu/product/home-knv-04-szerelheto-konyhai-halozati-eloszto-3-vedoerintkezos-aljzat-rozsdamentes-acel-felszereles-sarokba-is-max-3680w-knv-04-16273","https://www.somogyi.hu/product/home-knv-04-szerelheto-konyhai-halozati-eloszto-3-vedoerintkezos-aljzat-rozsdamentes-acel-felszereles-sarokba-is-max-3680w-knv-04-16273")</f>
        <v>0.0</v>
      </c>
      <c r="E2319" s="7" t="n">
        <f>HYPERLINK("https://www.somogyi.hu/data/img/product_main_images/small/16273.jpg","https://www.somogyi.hu/data/img/product_main_images/small/16273.jpg")</f>
        <v>0.0</v>
      </c>
      <c r="F2319" s="2" t="inlineStr">
        <is>
          <t>5999084943059</t>
        </is>
      </c>
      <c r="G2319" s="4" t="inlineStr">
        <is>
          <t>A KNV 04 Szerelhető konyhai elosztó rozsdamentes acél kivitelben készült, 4 db földelt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20">
      <c r="A2320" s="3" t="inlineStr">
        <is>
          <t>KNV 03/USB</t>
        </is>
      </c>
      <c r="B2320" s="2" t="inlineStr">
        <is>
          <t xml:space="preserve">Home KNV 03/USB szerelhető konyhai hálózati elosztó USB aljzatokkal, 3 védőérintkezős és 2 USB aljzat, rozsdamentes acél, felszerelés sarokba is, max. 3680 W, </t>
        </is>
      </c>
      <c r="C2320" s="1" t="n">
        <v>11890.0</v>
      </c>
      <c r="D2320" s="7" t="n">
        <f>HYPERLINK("https://www.somogyi.hu/product/home-knv-03-usb-szerelheto-konyhai-halozati-eloszto-usb-aljzatokkal-3-vedoerintkezos-es-2-usb-aljzat-rozsdamentes-acel-felszereles-sarokba-is-max-3680-w-knv-03-usb-16272","https://www.somogyi.hu/product/home-knv-03-usb-szerelheto-konyhai-halozati-eloszto-usb-aljzatokkal-3-vedoerintkezos-es-2-usb-aljzat-rozsdamentes-acel-felszereles-sarokba-is-max-3680-w-knv-03-usb-16272")</f>
        <v>0.0</v>
      </c>
      <c r="E2320" s="7" t="n">
        <f>HYPERLINK("https://www.somogyi.hu/data/img/product_main_images/small/16272.jpg","https://www.somogyi.hu/data/img/product_main_images/small/16272.jpg")</f>
        <v>0.0</v>
      </c>
      <c r="F2320" s="2" t="inlineStr">
        <is>
          <t>5999084943042</t>
        </is>
      </c>
      <c r="G2320" s="4" t="inlineStr">
        <is>
          <t>A KNV 03/USB Szerelhető konyhai elosztó rozsdamentes acél kivitelben készült, 3 db földelt aljzattal és 2 db extra USB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21">
      <c r="A2321" s="3" t="inlineStr">
        <is>
          <t>NV 06K</t>
        </is>
      </c>
      <c r="B2321" s="2" t="inlineStr">
        <is>
          <t>Home NV 06K hálózati elosztó, szerelhető, 6 gyermekvédelemmel ellátott kapcsolós aljzat, max. 3500W, fehér</t>
        </is>
      </c>
      <c r="C2321" s="1" t="n">
        <v>1890.0</v>
      </c>
      <c r="D2321" s="7" t="n">
        <f>HYPERLINK("https://www.somogyi.hu/product/home-nv-06k-halozati-eloszto-szerelheto-6-gyermekvedelemmel-ellatott-kapcsolos-aljzat-max-3500w-feher-nv-06k-14302","https://www.somogyi.hu/product/home-nv-06k-halozati-eloszto-szerelheto-6-gyermekvedelemmel-ellatott-kapcsolos-aljzat-max-3500w-feher-nv-06k-14302")</f>
        <v>0.0</v>
      </c>
      <c r="E2321" s="7" t="n">
        <f>HYPERLINK("https://www.somogyi.hu/data/img/product_main_images/small/14302.jpg","https://www.somogyi.hu/data/img/product_main_images/small/14302.jpg")</f>
        <v>0.0</v>
      </c>
      <c r="F2321" s="2" t="inlineStr">
        <is>
          <t>5999084923501</t>
        </is>
      </c>
      <c r="G2321" s="4" t="inlineStr">
        <is>
          <t>Vásároljon kapcsolóval ellátott szerelhető hálózati elosztót! Az NV 06K fehér színű elosztón 6 földelt aljzat található. A termékhez 3 x 1,5 mm²-es vezeték szerelhető. Felhasználhatósága: 250 V~ / 16 A / 3500 W. Válassza a minőségi termékeket és rendeljen webáruházunkból!</t>
        </is>
      </c>
    </row>
    <row r="2322">
      <c r="A2322" s="3" t="inlineStr">
        <is>
          <t>NV 03K</t>
        </is>
      </c>
      <c r="B2322" s="2" t="inlineStr">
        <is>
          <t>Home NV 03K hálózati elosztó, szerelhető, 3 gyermekvédelemmel ellátott kapcsolós aljzat, max. 3500W, fehér</t>
        </is>
      </c>
      <c r="C2322" s="1" t="n">
        <v>1450.0</v>
      </c>
      <c r="D2322" s="7" t="n">
        <f>HYPERLINK("https://www.somogyi.hu/product/home-nv-03k-halozati-eloszto-szerelheto-3-gyermekvedelemmel-ellatott-kapcsolos-aljzat-max-3500w-feher-nv-03k-14301","https://www.somogyi.hu/product/home-nv-03k-halozati-eloszto-szerelheto-3-gyermekvedelemmel-ellatott-kapcsolos-aljzat-max-3500w-feher-nv-03k-14301")</f>
        <v>0.0</v>
      </c>
      <c r="E2322" s="7" t="n">
        <f>HYPERLINK("https://www.somogyi.hu/data/img/product_main_images/small/14301.jpg","https://www.somogyi.hu/data/img/product_main_images/small/14301.jpg")</f>
        <v>0.0</v>
      </c>
      <c r="F2322" s="2" t="inlineStr">
        <is>
          <t>5999084923495</t>
        </is>
      </c>
      <c r="G2322" s="4" t="inlineStr">
        <is>
          <t>Vásároljon kapcsolóval ellátott szerelhető hálózati elosztót! Az NV 03K fehér színű elosztón 3 földelt aljzat található. A termékhez 3 x 1,5 mm²-es vezeték szerelhető. Felhasználhatósága: 250 V~ / 16 A / 3500 W. Válassza a minőségi termékeket és rendeljen webáruházunkból!</t>
        </is>
      </c>
    </row>
    <row r="2323">
      <c r="A2323" s="3" t="inlineStr">
        <is>
          <t>NV 05</t>
        </is>
      </c>
      <c r="B2323" s="2" t="inlineStr">
        <is>
          <t>Home NV 05 hálózati elosztó, szerelhető, 5 gyermekvédelemmel ellátott aljzat, falra akasztható, max. 3500W, fehér</t>
        </is>
      </c>
      <c r="C2323" s="1" t="n">
        <v>1450.0</v>
      </c>
      <c r="D2323" s="7" t="n">
        <f>HYPERLINK("https://www.somogyi.hu/product/home-nv-05-halozati-eloszto-szerelheto-5-gyermekvedelemmel-ellatott-aljzat-falra-akaszthato-max-3500w-feher-nv-05-14300","https://www.somogyi.hu/product/home-nv-05-halozati-eloszto-szerelheto-5-gyermekvedelemmel-ellatott-aljzat-falra-akaszthato-max-3500w-feher-nv-05-14300")</f>
        <v>0.0</v>
      </c>
      <c r="E2323" s="7" t="n">
        <f>HYPERLINK("https://www.somogyi.hu/data/img/product_main_images/small/14300.jpg","https://www.somogyi.hu/data/img/product_main_images/small/14300.jpg")</f>
        <v>0.0</v>
      </c>
      <c r="F2323" s="2" t="inlineStr">
        <is>
          <t>5999084923488</t>
        </is>
      </c>
      <c r="G2323" s="4" t="inlineStr">
        <is>
          <t>Vásároljon egy praktikus szerelhető hálózati elosztót! Az NV 05 fehér színű elosztón 5 földelt aljzat  található. A termék a könnyed használat érdekében akár falra is akasztható. Az elosztóhoz 3 x 1,5 mm²-es vezeték szerelhető. Felhasználhatósága: 250 V~ / 16 A / 3500 W. Válassza a minőségi termékeket és rendeljen webáruházunkból!</t>
        </is>
      </c>
    </row>
    <row r="2324">
      <c r="A2324" s="3" t="inlineStr">
        <is>
          <t>NV 03</t>
        </is>
      </c>
      <c r="B2324" s="2" t="inlineStr">
        <is>
          <t>Home NV 03 hálózati elosztó, szerelhető, 3 gyermekvédelemmel ellátott aljzat, falra akasztható, max. 3500W, fehér</t>
        </is>
      </c>
      <c r="C2324" s="1" t="n">
        <v>959.0</v>
      </c>
      <c r="D2324" s="7" t="n">
        <f>HYPERLINK("https://www.somogyi.hu/product/home-nv-03-halozati-eloszto-szerelheto-3-gyermekvedelemmel-ellatott-aljzat-falra-akaszthato-max-3500w-feher-nv-03-14272","https://www.somogyi.hu/product/home-nv-03-halozati-eloszto-szerelheto-3-gyermekvedelemmel-ellatott-aljzat-falra-akaszthato-max-3500w-feher-nv-03-14272")</f>
        <v>0.0</v>
      </c>
      <c r="E2324" s="7" t="n">
        <f>HYPERLINK("https://www.somogyi.hu/data/img/product_main_images/small/14272.jpg","https://www.somogyi.hu/data/img/product_main_images/small/14272.jpg")</f>
        <v>0.0</v>
      </c>
      <c r="F2324" s="2" t="inlineStr">
        <is>
          <t>5999084923204</t>
        </is>
      </c>
      <c r="G2324" s="4" t="inlineStr">
        <is>
          <t>Vásároljon egy praktikus szerelhető hálózati elosztót! Az NV 03 fehér színű elosztón 3 földelt aljzat található. A termék a könnyed használat érdekében akár falra is akasztható. Az elosztóhoz 3 x 1,5 mm²-es vezeték szerelhető. Felhasználhatósága: 250 V~ / 16 A / 3500 W. Válassza a minőségi termékeket és rendeljen webáruházunkból!</t>
        </is>
      </c>
    </row>
    <row r="2325">
      <c r="A2325" s="3" t="inlineStr">
        <is>
          <t>NV 06</t>
        </is>
      </c>
      <c r="B2325" s="2" t="inlineStr">
        <is>
          <t>Home NV 06 hálózati elosztó, szerelhető, 6 gyermekvédelemmel ellátott aljzat, falra akasztható, max. 3500W, fehér</t>
        </is>
      </c>
      <c r="C2325" s="1" t="n">
        <v>1690.0</v>
      </c>
      <c r="D2325" s="7" t="n">
        <f>HYPERLINK("https://www.somogyi.hu/product/home-nv-06-halozati-eloszto-szerelheto-6-gyermekvedelemmel-ellatott-aljzat-falra-akaszthato-max-3500w-feher-nv-06-14303","https://www.somogyi.hu/product/home-nv-06-halozati-eloszto-szerelheto-6-gyermekvedelemmel-ellatott-aljzat-falra-akaszthato-max-3500w-feher-nv-06-14303")</f>
        <v>0.0</v>
      </c>
      <c r="E2325" s="7" t="n">
        <f>HYPERLINK("https://www.somogyi.hu/data/img/product_main_images/small/14303.jpg","https://www.somogyi.hu/data/img/product_main_images/small/14303.jpg")</f>
        <v>0.0</v>
      </c>
      <c r="F2325" s="2" t="inlineStr">
        <is>
          <t>5999084923518</t>
        </is>
      </c>
      <c r="G2325" s="4" t="inlineStr">
        <is>
          <t>Vásároljon egy praktikus szerelhető hálózati elosztót! Az NV 06 fehér színű elosztón 6 földelt aljzat található. A termék a könnyed használat érdekében akár falra is akasztható. Az elosztóhoz 3 x 1,5 mm²-es vezeték szerelhető. Felhasználhatósága: 250 V~ / 16 A / 3500 W. Válassza a minőségi termékeket és rendeljen webáruházunkból!</t>
        </is>
      </c>
    </row>
    <row r="2326">
      <c r="A2326" s="3" t="inlineStr">
        <is>
          <t>NV 04</t>
        </is>
      </c>
      <c r="B2326" s="2" t="inlineStr">
        <is>
          <t>Home NV 04 hálózati elosztó, szerelhető, 4 gyermekvédelemmel ellátott aljzat, falra akasztható, max. 3500W, fehér</t>
        </is>
      </c>
      <c r="C2326" s="1" t="n">
        <v>1250.0</v>
      </c>
      <c r="D2326" s="7" t="n">
        <f>HYPERLINK("https://www.somogyi.hu/product/home-nv-04-halozati-eloszto-szerelheto-4-gyermekvedelemmel-ellatott-aljzat-falra-akaszthato-max-3500w-feher-nv-04-14299","https://www.somogyi.hu/product/home-nv-04-halozati-eloszto-szerelheto-4-gyermekvedelemmel-ellatott-aljzat-falra-akaszthato-max-3500w-feher-nv-04-14299")</f>
        <v>0.0</v>
      </c>
      <c r="E2326" s="7" t="n">
        <f>HYPERLINK("https://www.somogyi.hu/data/img/product_main_images/small/14299.jpg","https://www.somogyi.hu/data/img/product_main_images/small/14299.jpg")</f>
        <v>0.0</v>
      </c>
      <c r="F2326" s="2" t="inlineStr">
        <is>
          <t>5999084923471</t>
        </is>
      </c>
      <c r="G2326" s="4" t="inlineStr">
        <is>
          <t>Vásároljon egy praktikus szerelhető hálózati elosztót! Az NV 04 fehér színű elosztón 4 földelt aljzat  található. A termék a könnyed használat érdekében akár falra is akasztható. Az elosztóhoz 3 x 1,5 mm²-es vezeték szerelhető. Felhasználhatósága: 250 V~ / 16 A / 3500 W. Válassza a minőségi termékeket és rendeljen webáruházunkból!</t>
        </is>
      </c>
    </row>
    <row r="2327">
      <c r="A2327" s="6" t="inlineStr">
        <is>
          <t xml:space="preserve">   Villamosság / Aljzat, elosztós aljzat</t>
        </is>
      </c>
      <c r="B2327" s="6" t="inlineStr">
        <is>
          <t/>
        </is>
      </c>
      <c r="C2327" s="6" t="inlineStr">
        <is>
          <t/>
        </is>
      </c>
      <c r="D2327" s="6" t="inlineStr">
        <is>
          <t/>
        </is>
      </c>
      <c r="E2327" s="6" t="inlineStr">
        <is>
          <t/>
        </is>
      </c>
      <c r="F2327" s="6" t="inlineStr">
        <is>
          <t/>
        </is>
      </c>
      <c r="G2327" s="6" t="inlineStr">
        <is>
          <t/>
        </is>
      </c>
    </row>
    <row r="2328">
      <c r="A2328" s="3" t="inlineStr">
        <is>
          <t>1402RD/DEEUPC</t>
        </is>
      </c>
      <c r="B2328" s="2" t="inlineStr">
        <is>
          <t>PowerCube Extended USB 1402RD/DEEUPC, 1,5 m, 4 földelt aljzat gyermekvédelemmel, 2 USB aljzat, max. 3680 W, USB max. 2,1 A</t>
        </is>
      </c>
      <c r="C2328" s="1" t="n">
        <v>7790.0</v>
      </c>
      <c r="D2328" s="7" t="n">
        <f>HYPERLINK("https://www.somogyi.hu/product/powercube-extended-usb-1402rd-deeupc-1-5-m-4-foldelt-aljzat-gyermekvedelemmel-2-usb-aljzat-max-3680-w-usb-max-2-1-a-1402rd-deeupc-17829","https://www.somogyi.hu/product/powercube-extended-usb-1402rd-deeupc-1-5-m-4-foldelt-aljzat-gyermekvedelemmel-2-usb-aljzat-max-3680-w-usb-max-2-1-a-1402rd-deeupc-17829")</f>
        <v>0.0</v>
      </c>
      <c r="E2328" s="7" t="n">
        <f>HYPERLINK("https://www.somogyi.hu/data/img/product_main_images/small/17829.jpg","https://www.somogyi.hu/data/img/product_main_images/small/17829.jpg")</f>
        <v>0.0</v>
      </c>
      <c r="F2328" s="2" t="inlineStr">
        <is>
          <t>8718444087038</t>
        </is>
      </c>
      <c r="G2328" s="4" t="inlineStr">
        <is>
          <t>Multifunkcionális, innovatív megjelenésű 1402RD/DEEUPC PowerCube extended USB hálózati elosztó 4 db gyermekvédelemmel ellátott földelt és 2 db USB aljzatot foglal magában. Az USB port kifejezetten ajánlott táblagépek, okostelefonok, kamerák töltésére. Az elosztó vezetéke 1,5 méter hosszú.</t>
        </is>
      </c>
    </row>
    <row r="2329">
      <c r="A2329" s="3" t="inlineStr">
        <is>
          <t>9302/EUUHUB</t>
        </is>
      </c>
      <c r="B2329" s="2" t="inlineStr">
        <is>
          <t>USB HUB és töltő</t>
        </is>
      </c>
      <c r="C2329" s="1" t="n">
        <v>3490.0</v>
      </c>
      <c r="D2329" s="7" t="n">
        <f>HYPERLINK("https://www.somogyi.hu/product/usb-hub-es-tolto-9302-euuhub-16696","https://www.somogyi.hu/product/usb-hub-es-tolto-9302-euuhub-16696")</f>
        <v>0.0</v>
      </c>
      <c r="E2329" s="7" t="n">
        <f>HYPERLINK("https://www.somogyi.hu/data/img/product_main_images/small/16696.jpg","https://www.somogyi.hu/data/img/product_main_images/small/16696.jpg")</f>
        <v>0.0</v>
      </c>
      <c r="F2329" s="2" t="inlineStr">
        <is>
          <t>8719186001016</t>
        </is>
      </c>
      <c r="G2329" s="4" t="inlineStr">
        <is>
          <t xml:space="preserve"> • névleges feszültség: bemeneti feszültség: 100 – 240 V ~ / 50 Hz Micro USB 5 V DC (max. 1,5 A) 
 • kimeneti feszültség: USB A 5 V   (total 2,1 A) 
 • egyéb: USB HUB és töltő</t>
        </is>
      </c>
    </row>
    <row r="2330">
      <c r="A2330" s="3" t="inlineStr">
        <is>
          <t>NVT 1/WH</t>
        </is>
      </c>
      <c r="B2330" s="2" t="inlineStr">
        <is>
          <t>Home NVT 1/WH túlfeszültség védett hálózati aljzat, gyermekvédelemmel ellátva,  túlfeszültségvédelem 4500 A-ig, IP20 kivitel, max.3680W, fehér</t>
        </is>
      </c>
      <c r="C2330" s="1" t="n">
        <v>1890.0</v>
      </c>
      <c r="D2330" s="7" t="n">
        <f>HYPERLINK("https://www.somogyi.hu/product/home-nvt-1-wh-tulfeszultseg-vedett-halozati-aljzat-gyermekvedelemmel-ellatva-tulfeszultsegvedelem-4500-a-ig-ip20-kivitel-max-3680w-feher-nvt-1-wh-8531","https://www.somogyi.hu/product/home-nvt-1-wh-tulfeszultseg-vedett-halozati-aljzat-gyermekvedelemmel-ellatva-tulfeszultsegvedelem-4500-a-ig-ip20-kivitel-max-3680w-feher-nvt-1-wh-8531")</f>
        <v>0.0</v>
      </c>
      <c r="E2330" s="7" t="n">
        <f>HYPERLINK("https://www.somogyi.hu/data/img/product_main_images/small/08531.jpg","https://www.somogyi.hu/data/img/product_main_images/small/08531.jpg")</f>
        <v>0.0</v>
      </c>
      <c r="F2330" s="2" t="inlineStr">
        <is>
          <t>5998312774267</t>
        </is>
      </c>
      <c r="G2330" s="4" t="inlineStr">
        <is>
          <t>Ügyeljen a háztartási készülékek védelmére! Az NVT 1/WH túlfeszültségvédett hálózati aljzat minderre alkalmas! A termék IP20 kivitelben készült, továbbá gyermekvédelemmel van ellátva. Felhasználhatósága: 250 V~/ 50 Hz / 16 A / 3500 V. Mérete: 53 x 74 x 79 mm. Válassza a minőségi termékeket és rendeljen webáruházunkból!</t>
        </is>
      </c>
    </row>
    <row r="2331">
      <c r="A2331" s="3" t="inlineStr">
        <is>
          <t>NVK 1/WH</t>
        </is>
      </c>
      <c r="B2331" s="2" t="inlineStr">
        <is>
          <t>Home NVK 1/WH hálózati aljzat, gyermekvédelemmel ellátva, kapcsolós, IP20 kivitel, max. 3680W, fehér</t>
        </is>
      </c>
      <c r="C2331" s="1" t="n">
        <v>989.0</v>
      </c>
      <c r="D2331" s="7" t="n">
        <f>HYPERLINK("https://www.somogyi.hu/product/home-nvk-1-wh-halozati-aljzat-gyermekvedelemmel-ellatva-kapcsolos-ip20-kivitel-max-3680w-feher-nvk-1-wh-8530","https://www.somogyi.hu/product/home-nvk-1-wh-halozati-aljzat-gyermekvedelemmel-ellatva-kapcsolos-ip20-kivitel-max-3680w-feher-nvk-1-wh-8530")</f>
        <v>0.0</v>
      </c>
      <c r="E2331" s="7" t="n">
        <f>HYPERLINK("https://www.somogyi.hu/data/img/product_main_images/small/08530.jpg","https://www.somogyi.hu/data/img/product_main_images/small/08530.jpg")</f>
        <v>0.0</v>
      </c>
      <c r="F2331" s="2" t="inlineStr">
        <is>
          <t>5998312774250</t>
        </is>
      </c>
      <c r="G2331" s="4" t="inlineStr">
        <is>
          <t>Keresse a praktikus, kapcsolóval ellátott hálózati aljzatokat!
Az NVK 1/ WH kapcsolós hálózati aljzat rendkívül előnyös tulajdonságokkal rendelkezik. Egyfelől peremes kialakítása lehetővé teszi az egyszerű használatot, másfelől alkalmas a hálózati készülékek biztonságos be- és kikapcsolására. A termék IP20-as kivitelben készült, továbbá gyermekvédelemmel lett ellátva. 
Felhasználhatósága: 250 V~ / 16 A / 3500 V. Mérete: 53 x 74 x 79 mm. Válassza a minőségi termékeket és rendeljen webáruházunkból!</t>
        </is>
      </c>
    </row>
    <row r="2332">
      <c r="A2332" s="3" t="inlineStr">
        <is>
          <t>NV 131/WH</t>
        </is>
      </c>
      <c r="B2332" s="2" t="inlineStr">
        <is>
          <t>Home NV 131/WH hálózati elosztó, 3 aljzat, 2 EURO aljzat, 1 védőérintkezős aljzat (max. 3680W), fehér</t>
        </is>
      </c>
      <c r="C2332" s="1" t="n">
        <v>1090.0</v>
      </c>
      <c r="D2332" s="7" t="n">
        <f>HYPERLINK("https://www.somogyi.hu/product/home-nv-131-wh-halozati-eloszto-3-aljzat-2-euro-aljzat-1-vedoerintkezos-aljzat-max-3680w-feher-nv-131-wh-15408","https://www.somogyi.hu/product/home-nv-131-wh-halozati-eloszto-3-aljzat-2-euro-aljzat-1-vedoerintkezos-aljzat-max-3680w-feher-nv-131-wh-15408")</f>
        <v>0.0</v>
      </c>
      <c r="E2332" s="7" t="n">
        <f>HYPERLINK("https://www.somogyi.hu/data/img/product_main_images/small/15408.jpg","https://www.somogyi.hu/data/img/product_main_images/small/15408.jpg")</f>
        <v>0.0</v>
      </c>
      <c r="F2332" s="2" t="inlineStr">
        <is>
          <t>5999084934422</t>
        </is>
      </c>
      <c r="G2332" s="4" t="inlineStr">
        <is>
          <t>Az NV 131/WH Hálózati elosztón 1 db földelt aljzat és 2 db EURO aljzat található. Használatával helyet spórolhat meg, mivel az aljzatok előnyös elhelyezkedésének köszönhetően a termék kis helyet foglal el. Maximum 3680 W-ig terhelhető. A biztonságos használat érdekében gyermekvédelemmel ellátott.
Vásároljon megbízható hálózati elosztót és oldja meg egyszerűen elektromos eszközei tápellátását egy helyről.</t>
        </is>
      </c>
    </row>
    <row r="2333">
      <c r="A2333" s="3" t="inlineStr">
        <is>
          <t>TPF-36</t>
        </is>
      </c>
      <c r="B2333" s="2" t="inlineStr">
        <is>
          <t>Home TPF-36 földelt hálózati "T" elosztó, 3 db földelt aljzat, 250 V~, max. 16 A, max. 3680 W</t>
        </is>
      </c>
      <c r="C2333" s="1" t="n">
        <v>1190.0</v>
      </c>
      <c r="D2333" s="7" t="n">
        <f>HYPERLINK("https://www.somogyi.hu/product/home-tpf-36-foldelt-halozati-t-eloszto-3-db-foldelt-aljzat-250-v-max-16-a-max-3680-w-tpf-36-15409","https://www.somogyi.hu/product/home-tpf-36-foldelt-halozati-t-eloszto-3-db-foldelt-aljzat-250-v-max-16-a-max-3680-w-tpf-36-15409")</f>
        <v>0.0</v>
      </c>
      <c r="E2333" s="7" t="n">
        <f>HYPERLINK("https://www.somogyi.hu/data/img/product_main_images/small/15409.jpg","https://www.somogyi.hu/data/img/product_main_images/small/15409.jpg")</f>
        <v>0.0</v>
      </c>
      <c r="F2333" s="2" t="inlineStr">
        <is>
          <t>5999084934439</t>
        </is>
      </c>
      <c r="G2333" s="4" t="inlineStr">
        <is>
          <t>Ön is ismeri azt a problémát, amikor több elektromos készüléket kell egyszerre használnia, de kevés a rendelkezésre álló aljzat? A Home TPF-36 földelt hálózati "T" elosztó a tökéletes megoldás erre a gyakori dilemmára.
Ez az elosztó három földelt aljzattal rendelkezik, így egyszerűen és biztonságosan csatlakoztathat hozzá több eszközt is. Kialakításának köszönhetően kiválóan használható otthon, irodában vagy akár műhelyben is. A 250 V~ feszültség, a maximális 16 A áramerősség és a 3680 W teljesítmény biztosítja, hogy akár nagyobb energiaigényű készülékeket is problémamentesen használhat.
A "T" alakú dizájn praktikus és helytakarékos, így az elosztó könnyedén elfér a szűk helyeken is, nem foglal sok teret. Kialakítása biztosítja, hogy a csatlakoztatott készülékek kábelei ne akadályozzák egymást.
Vásárolja meg a Home TPF-36 földelt hálózati "T" elosztót, és felejtse el a kevés aljzat okozta problémákat! Ez az eszköz nemcsak praktikus és hatékony, hanem a mindennapi életben is nélkülözhetetlen segítséget nyújt. Rendelje meg most, és élvezze az egyszerű és biztonságos csatlakoztatás előnyeit!</t>
        </is>
      </c>
    </row>
    <row r="2334">
      <c r="A2334" s="3" t="inlineStr">
        <is>
          <t>NV 22</t>
        </is>
      </c>
      <c r="B2334" s="2" t="inlineStr">
        <is>
          <t>Home NV 22 hálózati elosztó, 2 földelt aljzat gyermekvédelemmel ellátva, (max. 3680W), fehér</t>
        </is>
      </c>
      <c r="C2334" s="1" t="n">
        <v>919.0</v>
      </c>
      <c r="D2334" s="7" t="n">
        <f>HYPERLINK("https://www.somogyi.hu/product/home-nv-22-halozati-eloszto-2-foldelt-aljzat-gyermekvedelemmel-ellatva-max-3680w-feher-nv-22-13685","https://www.somogyi.hu/product/home-nv-22-halozati-eloszto-2-foldelt-aljzat-gyermekvedelemmel-ellatva-max-3680w-feher-nv-22-13685")</f>
        <v>0.0</v>
      </c>
      <c r="E2334" s="7" t="n">
        <f>HYPERLINK("https://www.somogyi.hu/data/img/product_main_images/small/13685.jpg","https://www.somogyi.hu/data/img/product_main_images/small/13685.jpg")</f>
        <v>0.0</v>
      </c>
      <c r="F2334" s="2" t="inlineStr">
        <is>
          <t>5999084917371</t>
        </is>
      </c>
      <c r="G2334" s="4" t="inlineStr">
        <is>
          <t>Az NV 22 egy masszív és megbízható kialakítással rendelkező hálózati elosztó. A termék 2 földelt aljzattal rendelkezik. Felhasználhatósága: 250 V~ / max. 16 A / max. 3500 W. Válassza a minőségi termékeket és rendeljen webáruházunkból!</t>
        </is>
      </c>
    </row>
    <row r="2335">
      <c r="A2335" s="3" t="inlineStr">
        <is>
          <t>NVK 3/WH</t>
        </is>
      </c>
      <c r="B2335" s="2" t="inlineStr">
        <is>
          <t>Hálózati elosztó, kapcsolós 3 aljzat ( 1 földelt + 2 euró )</t>
        </is>
      </c>
      <c r="C2335" s="1" t="n">
        <v>1250.0</v>
      </c>
      <c r="D2335" s="7" t="n">
        <f>HYPERLINK("https://www.somogyi.hu/product/halozati-eloszto-kapcsolos-3-aljzat-1-foldelt-2-euro-nvk-3-wh-8933","https://www.somogyi.hu/product/halozati-eloszto-kapcsolos-3-aljzat-1-foldelt-2-euro-nvk-3-wh-8933")</f>
        <v>0.0</v>
      </c>
      <c r="E2335" s="7" t="n">
        <f>HYPERLINK("https://www.somogyi.hu/data/img/product_main_images/small/08933.jpg","https://www.somogyi.hu/data/img/product_main_images/small/08933.jpg")</f>
        <v>0.0</v>
      </c>
      <c r="F2335" s="2" t="inlineStr">
        <is>
          <t>5998312778135</t>
        </is>
      </c>
      <c r="G2335" s="4" t="inlineStr">
        <is>
          <t>Keresse a praktikus, kapcsolóval ellátott hálózati aljzatokat!
Az NVK 3/ WH kapcsolós hálózati aljzat rendkívül előnyös tulajdonságokkal rendelkezik: 2 db euró és 1 db földelt aljzattal van ellátva. A termék további előnye, hogy alkalmas a hálózati készülékek biztonságos be- és kikapcsolására, valamint gyermekvédelemmel ellátott. Masszív kialakítását az IP20-as kivitelben garantálja.
Felhasználhatósága: 250 V~ / 50 Hz /16 A / 3500 V. Válassza a minőségi termékeket és rendeljen webáruházunkból!</t>
        </is>
      </c>
    </row>
    <row r="2336">
      <c r="A2336" s="3" t="inlineStr">
        <is>
          <t>NV 24/WH</t>
        </is>
      </c>
      <c r="B2336" s="2" t="inlineStr">
        <is>
          <t>Home NV 24/WH hálózati elosztó, 4 EURO aljzat gyermekvédelemmel ellátva, max. 4 x 500 W, fehér</t>
        </is>
      </c>
      <c r="C2336" s="1" t="n">
        <v>749.0</v>
      </c>
      <c r="D2336" s="7" t="n">
        <f>HYPERLINK("https://www.somogyi.hu/product/home-nv-24-wh-halozati-eloszto-4-euro-aljzat-gyermekvedelemmel-ellatva-max-4-x-500-w-feher-nv-24-wh-2782","https://www.somogyi.hu/product/home-nv-24-wh-halozati-eloszto-4-euro-aljzat-gyermekvedelemmel-ellatva-max-4-x-500-w-feher-nv-24-wh-2782")</f>
        <v>0.0</v>
      </c>
      <c r="E2336" s="7" t="n">
        <f>HYPERLINK("https://www.somogyi.hu/data/img/product_main_images/small/02782.jpg","https://www.somogyi.hu/data/img/product_main_images/small/02782.jpg")</f>
        <v>0.0</v>
      </c>
      <c r="F2336" s="2" t="inlineStr">
        <is>
          <t>5998312731062</t>
        </is>
      </c>
      <c r="G2336" s="4" t="inlineStr">
        <is>
          <t>Oldja meg könnyedén a berendezések áramellátását és vásároljon egy praktikus euro elosztót. Az NV 24/WH elosztó, 4 euro aljzattal rendelkezik. Felhasználhatósága: 250 V~ / 4 x 2,5 A / 4 x 500 W. Válassza a minőségi termékeket és rendeljen webáruházunkból!</t>
        </is>
      </c>
    </row>
    <row r="2337">
      <c r="A2337" s="3" t="inlineStr">
        <is>
          <t>TPF-26</t>
        </is>
      </c>
      <c r="B2337" s="2" t="inlineStr">
        <is>
          <t>Home TPF-26 hálózati elosztó, T-alakú, 3 földelt aljzat gyermekvédelemmel, max. 3680W, fehér</t>
        </is>
      </c>
      <c r="C2337" s="1" t="n">
        <v>1190.0</v>
      </c>
      <c r="D2337" s="7" t="n">
        <f>HYPERLINK("https://www.somogyi.hu/product/home-tpf-26-halozati-eloszto-t-alaku-3-foldelt-aljzat-gyermekvedelemmel-max-3680w-feher-tpf-26-14297","https://www.somogyi.hu/product/home-tpf-26-halozati-eloszto-t-alaku-3-foldelt-aljzat-gyermekvedelemmel-max-3680w-feher-tpf-26-14297")</f>
        <v>0.0</v>
      </c>
      <c r="E2337" s="7" t="n">
        <f>HYPERLINK("https://www.somogyi.hu/data/img/product_main_images/small/14297.jpg","https://www.somogyi.hu/data/img/product_main_images/small/14297.jpg")</f>
        <v>0.0</v>
      </c>
      <c r="F2337" s="2" t="inlineStr">
        <is>
          <t>5999084923457</t>
        </is>
      </c>
      <c r="G2337" s="4" t="inlineStr">
        <is>
          <t>A TPF 26 Hálózati elosztó T- alakú praktikus kialakítással rendelkező áramelosztó típus. Használatával helyet spórolhat meg, mivel az aljzatok előnyös elhelyezkedésének köszönhetően a termék kis helyet foglal el. A hálózati T- elosztó fehér színű, 3 db földelt aljzat található rajta. Maximum 3680 W-ig terhelhető. A biztonságos használat érdekében gyermekvédelemmel ellátott.
Könnyítse meg a háztartási berendezések áramellátását.</t>
        </is>
      </c>
    </row>
    <row r="2338">
      <c r="A2338" s="3" t="inlineStr">
        <is>
          <t>NV 23/WH</t>
        </is>
      </c>
      <c r="B2338" s="2" t="inlineStr">
        <is>
          <t>Home NV 23/WH hálózati elosztó, 3 EURO aljzat gyermekvédelemmel ellátva, max. 3 x 500 W, fehér</t>
        </is>
      </c>
      <c r="C2338" s="1" t="n">
        <v>659.0</v>
      </c>
      <c r="D2338" s="7" t="n">
        <f>HYPERLINK("https://www.somogyi.hu/product/home-nv-23-wh-halozati-eloszto-3-euro-aljzat-gyermekvedelemmel-ellatva-max-3-x-500-w-feher-nv-23-wh-2781","https://www.somogyi.hu/product/home-nv-23-wh-halozati-eloszto-3-euro-aljzat-gyermekvedelemmel-ellatva-max-3-x-500-w-feher-nv-23-wh-2781")</f>
        <v>0.0</v>
      </c>
      <c r="E2338" s="7" t="n">
        <f>HYPERLINK("https://www.somogyi.hu/data/img/product_main_images/small/02781.jpg","https://www.somogyi.hu/data/img/product_main_images/small/02781.jpg")</f>
        <v>0.0</v>
      </c>
      <c r="F2338" s="2" t="inlineStr">
        <is>
          <t>5998312731055</t>
        </is>
      </c>
      <c r="G2338" s="4" t="inlineStr">
        <is>
          <t>Oldja meg könnyedén a berendezések áramellátását és vásároljon egy praktikus euro elosztót. Az NV 23/WH elosztó, 3 euro aljzattal rendelkezik. Felhasználhatósága: 250 V~ / 3 x 2,5 A / 3 x 500 W. Válassza a minőségi termékeket és rendeljen webáruházunkból!</t>
        </is>
      </c>
    </row>
    <row r="2339">
      <c r="A2339" s="3" t="inlineStr">
        <is>
          <t>NV 22-90</t>
        </is>
      </c>
      <c r="B2339" s="2" t="inlineStr">
        <is>
          <t>Home NV 22-90 hálózati elosztó, 2 földelt aljzat gyermekvédelemmel ellátva, 90°-ban elfordított aljzat, (max. 3680W), fehér</t>
        </is>
      </c>
      <c r="C2339" s="1" t="n">
        <v>1050.0</v>
      </c>
      <c r="D2339" s="7" t="n">
        <f>HYPERLINK("https://www.somogyi.hu/product/home-nv-22-90-halozati-eloszto-2-foldelt-aljzat-gyermekvedelemmel-ellatva-90-ban-elforditott-aljzat-max-3680w-feher-nv-22-90-13686","https://www.somogyi.hu/product/home-nv-22-90-halozati-eloszto-2-foldelt-aljzat-gyermekvedelemmel-ellatva-90-ban-elforditott-aljzat-max-3680w-feher-nv-22-90-13686")</f>
        <v>0.0</v>
      </c>
      <c r="E2339" s="7" t="n">
        <f>HYPERLINK("https://www.somogyi.hu/data/img/product_main_images/small/13686.jpg","https://www.somogyi.hu/data/img/product_main_images/small/13686.jpg")</f>
        <v>0.0</v>
      </c>
      <c r="F2339" s="2" t="inlineStr">
        <is>
          <t>5999084917388</t>
        </is>
      </c>
      <c r="G2339" s="4" t="inlineStr">
        <is>
          <t>A hagyományos elosztóknál gyakran előfordul, hogy a nagyobb dugók nem férnek el egymás mellett, ezért is praktikus választás minden vásárló számára az elfordított elosztó.
Az NV 22-90 esetében mindez nem probléma, hiszen előnyös kialakítás lehetővé teszi, hogy a dugók vízszintesen kifelé álljanak. A termék felhasználhatósága: 250 V~ / max. 16 A / max. 3500 W. Válassza a minőségi termékeket és rendeljen webáruházunkból!</t>
        </is>
      </c>
    </row>
    <row r="2340">
      <c r="A2340" s="3" t="inlineStr">
        <is>
          <t>NV 4 USB</t>
        </is>
      </c>
      <c r="B2340" s="2" t="inlineStr">
        <is>
          <t>Home NV 4 USB tálcás USB-s elosztó, 4 földelt aljzat, 4 USB aljzat, elforgatható csatlakozódugó, max.3680W,</t>
        </is>
      </c>
      <c r="C2340" s="1" t="n">
        <v>11790.0</v>
      </c>
      <c r="D2340" s="7" t="n">
        <f>HYPERLINK("https://www.somogyi.hu/product/home-nv-4-usb-talcas-usb-s-eloszto-4-foldelt-aljzat-4-usb-aljzat-elforgathato-csatlakozodugo-max-3680w-nv-4-usb-17615","https://www.somogyi.hu/product/home-nv-4-usb-talcas-usb-s-eloszto-4-foldelt-aljzat-4-usb-aljzat-elforgathato-csatlakozodugo-max-3680w-nv-4-usb-17615")</f>
        <v>0.0</v>
      </c>
      <c r="E2340" s="7" t="n">
        <f>HYPERLINK("https://www.somogyi.hu/data/img/product_main_images/small/17615.jpg","https://www.somogyi.hu/data/img/product_main_images/small/17615.jpg")</f>
        <v>0.0</v>
      </c>
      <c r="F2340" s="2" t="inlineStr">
        <is>
          <t>5999084956370</t>
        </is>
      </c>
      <c r="G2340" s="4" t="inlineStr">
        <is>
          <t>NV 4 USB tálcás, fali aljzathoz csatlakoztatott elosztó 4 db földelt aljzatot és 4 db USB töltőaljzatot foglal magában. A tálcák utólag is felszerelhetők és amennyiben fixen szeretné rögzíteni a csomagban található kétoldalas ragasztókkal megteheti. Okostelefonok, táblagépek tölthetők saját töltőikkel a konnektorba csatlakoztatva, de az olyan eszközök USB-s töltése is megoldott, melyekhez gyárilag csak USB vezeték jár. Az eszközök vezetéke a tálcákon kialakított füleken esztétikusan elvezethető, így összegabalyodásuk kizárt.</t>
        </is>
      </c>
    </row>
    <row r="2341">
      <c r="A2341" s="3" t="inlineStr">
        <is>
          <t>TPF-26/BK</t>
        </is>
      </c>
      <c r="B2341" s="2" t="inlineStr">
        <is>
          <t>Home TPF-26/BK hálózati elosztó, T-alakú, 3 földelt aljzat gyermekvédelemmel, max. 3680W, fekete</t>
        </is>
      </c>
      <c r="C2341" s="1" t="n">
        <v>1190.0</v>
      </c>
      <c r="D2341" s="7" t="n">
        <f>HYPERLINK("https://www.somogyi.hu/product/home-tpf-26-bk-halozati-eloszto-t-alaku-3-foldelt-aljzat-gyermekvedelemmel-max-3680w-fekete-tpf-26-bk-15913","https://www.somogyi.hu/product/home-tpf-26-bk-halozati-eloszto-t-alaku-3-foldelt-aljzat-gyermekvedelemmel-max-3680w-fekete-tpf-26-bk-15913")</f>
        <v>0.0</v>
      </c>
      <c r="E2341" s="7" t="n">
        <f>HYPERLINK("https://www.somogyi.hu/data/img/product_main_images/small/15913.jpg","https://www.somogyi.hu/data/img/product_main_images/small/15913.jpg")</f>
        <v>0.0</v>
      </c>
      <c r="F2341" s="2" t="inlineStr">
        <is>
          <t>5999084939472</t>
        </is>
      </c>
      <c r="G2341" s="4" t="inlineStr">
        <is>
          <t>A TPF 26/BK Hálózati elosztó T- alakú praktikus kialakítással rendelkező áramelosztó típus. Használatával helyet spórolhat meg, mivel az aljzatok előnyös elhelyezkedésének köszönhetően a termék kis helyet foglal el. A hálózati T- elosztó fekete színű, 3 db földelt aljzat található rajta. Maximum 3680 W-ig terhelhető. A biztonságos használat érdekében gyermekvédelemmel ellátott.
Könnyítse meg a háztartási berendezések áramellátását.</t>
        </is>
      </c>
    </row>
    <row r="2342">
      <c r="A2342" s="3" t="inlineStr">
        <is>
          <t>NV 1/WH</t>
        </is>
      </c>
      <c r="B2342" s="2" t="inlineStr">
        <is>
          <t>Home NV 1/WH hálózati elosztó, 2 EURO aljzat gyermekvédelemmel ellátva, 2x500W, fehér</t>
        </is>
      </c>
      <c r="C2342" s="1" t="n">
        <v>459.0</v>
      </c>
      <c r="D2342" s="7" t="n">
        <f>HYPERLINK("https://www.somogyi.hu/product/home-nv-1-wh-halozati-eloszto-2-euro-aljzat-gyermekvedelemmel-ellatva-2x500w-feher-nv-1-wh-1995","https://www.somogyi.hu/product/home-nv-1-wh-halozati-eloszto-2-euro-aljzat-gyermekvedelemmel-ellatva-2x500w-feher-nv-1-wh-1995")</f>
        <v>0.0</v>
      </c>
      <c r="E2342" s="7" t="n">
        <f>HYPERLINK("https://www.somogyi.hu/data/img/product_main_images/small/01995.jpg","https://www.somogyi.hu/data/img/product_main_images/small/01995.jpg")</f>
        <v>0.0</v>
      </c>
      <c r="F2342" s="2" t="inlineStr">
        <is>
          <t>5998312715512</t>
        </is>
      </c>
      <c r="G2342" s="4" t="inlineStr">
        <is>
          <t>Oldja meg könnyedén a berendezések áramellátását és vásároljon egy praktikus euro elosztót. Az NV1/WH elosztó, 2 euro aljzattal rendelkezik. Felhasználhatósága: 250 V~ / 2 x 2,5 A / 2 x 500 W. Válassza a minőségi termékeket és rendeljen webáruházunkból!</t>
        </is>
      </c>
    </row>
    <row r="2343">
      <c r="A2343" s="3" t="inlineStr">
        <is>
          <t>NV 13/WH</t>
        </is>
      </c>
      <c r="B2343" s="2" t="inlineStr">
        <is>
          <t xml:space="preserve">Home NV 13/WH hálózati elosztó, 3 aljzat, 1 védőérintkezős aljzat (max. 3680W), 2 EURO aljzat (max. 3500W), fehér </t>
        </is>
      </c>
      <c r="C2343" s="1" t="n">
        <v>899.0</v>
      </c>
      <c r="D2343" s="7" t="n">
        <f>HYPERLINK("https://www.somogyi.hu/product/home-nv-13-wh-halozati-eloszto-3-aljzat-1-vedoerintkezos-aljzat-max-3680w-2-euro-aljzat-max-3500w-feher-nv-13-wh-2509","https://www.somogyi.hu/product/home-nv-13-wh-halozati-eloszto-3-aljzat-1-vedoerintkezos-aljzat-max-3680w-2-euro-aljzat-max-3500w-feher-nv-13-wh-2509")</f>
        <v>0.0</v>
      </c>
      <c r="E2343" s="7" t="n">
        <f>HYPERLINK("https://www.somogyi.hu/data/img/product_main_images/small/02509.jpg","https://www.somogyi.hu/data/img/product_main_images/small/02509.jpg")</f>
        <v>0.0</v>
      </c>
      <c r="F2343" s="2" t="inlineStr">
        <is>
          <t>5998312728215</t>
        </is>
      </c>
      <c r="G2343" s="4" t="inlineStr">
        <is>
          <t>Az NV 13/WH Hálózati elosztón 1 db védőérintkezős aljzat található, amely gyermekvédelemmel ellátott és 3680 W-ig terhelhető. Az elosztó alsó és felső pontján 1-1 db EURO aljzat helyezkedik el, melynek 2x 500 W a terhelhetősége. 
Vásároljon megbízható hálózati elosztót és oldja meg egyszerűen elektromos eszközei tápellátását egy helyről.</t>
        </is>
      </c>
    </row>
    <row r="2344">
      <c r="A2344" s="3" t="inlineStr">
        <is>
          <t>TPF-26/GR</t>
        </is>
      </c>
      <c r="B2344" s="2" t="inlineStr">
        <is>
          <t>Home TPF-26/GR hálózati elosztó, T-alakú, 3 földelt aljzat gyermekvédelemmel, max. 3680W, zöld</t>
        </is>
      </c>
      <c r="C2344" s="1" t="n">
        <v>1190.0</v>
      </c>
      <c r="D2344" s="7" t="n">
        <f>HYPERLINK("https://www.somogyi.hu/product/home-tpf-26-gr-halozati-eloszto-t-alaku-3-foldelt-aljzat-gyermekvedelemmel-max-3680w-zold-tpf-26-gr-14921","https://www.somogyi.hu/product/home-tpf-26-gr-halozati-eloszto-t-alaku-3-foldelt-aljzat-gyermekvedelemmel-max-3680w-zold-tpf-26-gr-14921")</f>
        <v>0.0</v>
      </c>
      <c r="E2344" s="7" t="n">
        <f>HYPERLINK("https://www.somogyi.hu/data/img/product_main_images/small/14921.jpg","https://www.somogyi.hu/data/img/product_main_images/small/14921.jpg")</f>
        <v>0.0</v>
      </c>
      <c r="F2344" s="2" t="inlineStr">
        <is>
          <t>5999084929565</t>
        </is>
      </c>
      <c r="G2344" s="4" t="inlineStr">
        <is>
          <t>A TPF 26/G Hálózati elosztó T- alakú praktikus kialakítással rendelkező áramelosztó típus. Használatával helyet spórolhat meg, mivel az aljzatok előnyös elhelyezkedésének köszönhetően a termék kis helyet foglal el. A hálózati T- elosztó zöld színű, 3 db földelt aljzat található rajta. Maximum 3680 W-ig terhelhető. A biztonságos használat érdekében gyermekvédelemmel ellátott.
Könnyítse meg a háztartási berendezések áramellátását.</t>
        </is>
      </c>
    </row>
    <row r="2345">
      <c r="A2345" s="3" t="inlineStr">
        <is>
          <t>1202GN/DEOUPC</t>
        </is>
      </c>
      <c r="B2345" s="2" t="inlineStr">
        <is>
          <t>PowerCube Original USB 1202GN/DEOUPC, 4 földelt aljzat gyermekvédelemmel, 2 USB aljzat, max. 3680 W, USB max. 2,1 A</t>
        </is>
      </c>
      <c r="C2345" s="1" t="n">
        <v>6890.0</v>
      </c>
      <c r="D2345" s="7" t="n">
        <f>HYPERLINK("https://www.somogyi.hu/product/powercube-original-usb-1202gn-deoupc-4-foldelt-aljzat-gyermekvedelemmel-2-usb-aljzat-max-3680-w-usb-max-2-1-a-1202gn-deoupc-16173","https://www.somogyi.hu/product/powercube-original-usb-1202gn-deoupc-4-foldelt-aljzat-gyermekvedelemmel-2-usb-aljzat-max-3680-w-usb-max-2-1-a-1202gn-deoupc-16173")</f>
        <v>0.0</v>
      </c>
      <c r="E2345" s="7" t="n">
        <f>HYPERLINK("https://www.somogyi.hu/data/img/product_main_images/small/16173.jpg","https://www.somogyi.hu/data/img/product_main_images/small/16173.jpg")</f>
        <v>0.0</v>
      </c>
      <c r="F2345" s="2" t="inlineStr">
        <is>
          <t>8718444085737</t>
        </is>
      </c>
      <c r="G2345" s="4" t="inlineStr">
        <is>
          <t>A 1202GN/DEOUPC Elosztó egyedi formatervezésének és kocka alakjának köszönhetően bármelyik lakásban jól fog mutatni. A formabontó kivitelezés által a dugók nem akadnak össze a termék használata során. A hálózati elosztó 4 db földelt aljzattal és 2 db USB aljzattal felszerelt. A biztonságos használat érdekében gyermekvédelemmel ellátott. Az elosztó maximum 3680 W-ig, az USB aljzatok maximum 2,1 A-ig terhelhetők. 
Vásároljon egyedi hálózati elosztót, mely megkönnyíti az elektromos berendezések üzemeltetését.</t>
        </is>
      </c>
    </row>
    <row r="2346">
      <c r="A2346" s="3" t="inlineStr">
        <is>
          <t>NVKO 1</t>
        </is>
      </c>
      <c r="B2346" s="2" t="inlineStr">
        <is>
          <t>Home NVKO 1 hálózati aljzat, kapcsolós, kültéri, gyermekvédelemmel ellátva, IP44 védelem, max.3680W</t>
        </is>
      </c>
      <c r="C2346" s="1" t="n">
        <v>1990.0</v>
      </c>
      <c r="D2346" s="7" t="n">
        <f>HYPERLINK("https://www.somogyi.hu/product/home-nvko-1-halozati-aljzat-kapcsolos-kulteri-gyermekvedelemmel-ellatva-ip44-vedelem-max-3680w-nvko-1-17618","https://www.somogyi.hu/product/home-nvko-1-halozati-aljzat-kapcsolos-kulteri-gyermekvedelemmel-ellatva-ip44-vedelem-max-3680w-nvko-1-17618")</f>
        <v>0.0</v>
      </c>
      <c r="E2346" s="7" t="n">
        <f>HYPERLINK("https://www.somogyi.hu/data/img/product_main_images/small/17618.jpg","https://www.somogyi.hu/data/img/product_main_images/small/17618.jpg")</f>
        <v>0.0</v>
      </c>
      <c r="F2346" s="2" t="inlineStr">
        <is>
          <t>5999084956400</t>
        </is>
      </c>
      <c r="G2346" s="4" t="inlineStr">
        <is>
          <t xml:space="preserve"> • névleges feszültség: 250 V~ 
 • névleges áramerősség: 16 A 
 • névleges teljesítmény: max. 3680 W 
 • aljzatok száma: 1 db 
 • védőföldelés: van 
 • kapcsoló: egypólusú kapcsolóval 
 • IP védettségi fokozat: IP44 
 • gyerekvédelem: igen 
 • egyéb: alkalmas hálózati készülékek be- és kikapcsolására • csak a csatlakozódugó kihúzásával feszültségmentes</t>
        </is>
      </c>
    </row>
    <row r="2347">
      <c r="A2347" s="3" t="inlineStr">
        <is>
          <t>TPF 3K</t>
        </is>
      </c>
      <c r="B2347" s="2" t="inlineStr">
        <is>
          <t>Home TPF 3K földelt hálózati "T" elosztó, 3 db földelt aljzat, 3 kapcsoló</t>
        </is>
      </c>
      <c r="C2347" s="1" t="n">
        <v>2190.0</v>
      </c>
      <c r="D2347" s="7" t="n">
        <f>HYPERLINK("https://www.somogyi.hu/product/home-tpf-3k-foldelt-halozati-t-eloszto-3-db-foldelt-aljzat-3-kapcsolo-tpf-3k-18303","https://www.somogyi.hu/product/home-tpf-3k-foldelt-halozati-t-eloszto-3-db-foldelt-aljzat-3-kapcsolo-tpf-3k-18303")</f>
        <v>0.0</v>
      </c>
      <c r="E2347" s="7" t="n">
        <f>HYPERLINK("https://www.somogyi.hu/data/img/product_main_images/small/18303.jpg","https://www.somogyi.hu/data/img/product_main_images/small/18303.jpg")</f>
        <v>0.0</v>
      </c>
      <c r="F2347" s="2" t="inlineStr">
        <is>
          <t>5999084963255</t>
        </is>
      </c>
      <c r="G2347" s="4" t="inlineStr">
        <is>
          <t>Megunta, hogy minden egyes elektronikai eszközét közösen kell ki- és bekapcsolnia? Ismerje meg a Home TPF 3K földelt "T" elosztót, amely egyszerű megoldást kínál a hálózati készülékek kezelésére.
Három földelt aljzattal rendelkezik, mindegyikhez tartozik egy saját, egypólusú kapcsoló. Így könnyedén irányíthatja az egyes csatlakoztatott eszközök áramellátását anélkül, hogy ki kellene húznia a csatlakozódugókat. Fontos megjegyezni, hogy a teljes biztonság érdekében a készülék csak akkor lesz teljesen feszültségmentes, ha azt kihúzzuk az áramforrásból.
Ezzel a praktikus elosztóval, amely akár 3680 W teljesítményt is képes kezelni, nemcsak időt takaríthat meg, de otthona biztonságát is növelheti. Rendezze áramellátását okosan a Home TPF 3K elosztóval!</t>
        </is>
      </c>
    </row>
    <row r="2348">
      <c r="A2348" s="6" t="inlineStr">
        <is>
          <t xml:space="preserve">   Villamosság / Szerelhető dugó / aljzat, gyerekvédő hálózati aljzatba</t>
        </is>
      </c>
      <c r="B2348" s="6" t="inlineStr">
        <is>
          <t/>
        </is>
      </c>
      <c r="C2348" s="6" t="inlineStr">
        <is>
          <t/>
        </is>
      </c>
      <c r="D2348" s="6" t="inlineStr">
        <is>
          <t/>
        </is>
      </c>
      <c r="E2348" s="6" t="inlineStr">
        <is>
          <t/>
        </is>
      </c>
      <c r="F2348" s="6" t="inlineStr">
        <is>
          <t/>
        </is>
      </c>
      <c r="G2348" s="6" t="inlineStr">
        <is>
          <t/>
        </is>
      </c>
    </row>
    <row r="2349">
      <c r="A2349" s="3" t="inlineStr">
        <is>
          <t>NGA 01</t>
        </is>
      </c>
      <c r="B2349" s="2" t="inlineStr">
        <is>
          <t>Home NGA 01 földelt aljzat 45°-os kábelvezetéssel, aljzat gyermekvédelemmel, kül- és beltéren is használható, max. 3680 W, fekete</t>
        </is>
      </c>
      <c r="C2349" s="1" t="n">
        <v>1150.0</v>
      </c>
      <c r="D2349" s="7" t="n">
        <f>HYPERLINK("https://www.somogyi.hu/product/home-nga-01-foldelt-aljzat-45-os-kabelvezetessel-aljzat-gyermekvedelemmel-kul-es-belteren-is-hasznalhato-max-3680-w-fekete-nga-01-15415","https://www.somogyi.hu/product/home-nga-01-foldelt-aljzat-45-os-kabelvezetessel-aljzat-gyermekvedelemmel-kul-es-belteren-is-hasznalhato-max-3680-w-fekete-nga-01-15415")</f>
        <v>0.0</v>
      </c>
      <c r="E2349" s="7" t="n">
        <f>HYPERLINK("https://www.somogyi.hu/data/img/product_main_images/small/15415.jpg","https://www.somogyi.hu/data/img/product_main_images/small/15415.jpg")</f>
        <v>0.0</v>
      </c>
      <c r="F2349" s="2" t="inlineStr">
        <is>
          <t>5999084934491</t>
        </is>
      </c>
      <c r="G2349" s="4" t="inlineStr">
        <is>
          <t>Az NGA 01 Földelt aljzat 45°-os kábelvezetésű. Maximum 3680 W-ig terhelhető. Az aljzat gumírozott anyagú, kül- és beltéren egyaránt használható. A biztonságos használatot a gyermekvédelem és az aljzaton található fedél biztosítja. 
Az aljzathoz nem tartozék a kábel.</t>
        </is>
      </c>
    </row>
    <row r="2350">
      <c r="A2350" s="3" t="inlineStr">
        <is>
          <t>NGA 02</t>
        </is>
      </c>
      <c r="B2350" s="2" t="inlineStr">
        <is>
          <t>Home NGA 02 földelt dupla aljzat egyenes kábelvezetéssel, 2 aljzat gyermekvédelemmel, kül- és beltéren is használható, max. 3680 W, fekete</t>
        </is>
      </c>
      <c r="C2350" s="1" t="n">
        <v>2090.0</v>
      </c>
      <c r="D2350" s="7" t="n">
        <f>HYPERLINK("https://www.somogyi.hu/product/home-nga-02-foldelt-dupla-aljzat-egyenes-kabelvezetessel-2-aljzat-gyermekvedelemmel-kul-es-belteren-is-hasznalhato-max-3680-w-fekete-nga-02-15859","https://www.somogyi.hu/product/home-nga-02-foldelt-dupla-aljzat-egyenes-kabelvezetessel-2-aljzat-gyermekvedelemmel-kul-es-belteren-is-hasznalhato-max-3680-w-fekete-nga-02-15859")</f>
        <v>0.0</v>
      </c>
      <c r="E2350" s="7" t="n">
        <f>HYPERLINK("https://www.somogyi.hu/data/img/product_main_images/small/15859.jpg","https://www.somogyi.hu/data/img/product_main_images/small/15859.jpg")</f>
        <v>0.0</v>
      </c>
      <c r="F2350" s="2" t="inlineStr">
        <is>
          <t>5999084938932</t>
        </is>
      </c>
      <c r="G2350" s="4" t="inlineStr">
        <is>
          <t>Az NGA 02 Földelt dupla aljzat egyenes kábelvezetésű. Maximum 3680 W-ig terhelhető. Az aljzat gumírozott anyagú, kül- és beltéren egyaránt használható. A biztonságos használatot a gyermekvédelem és az aljzaton található fedél biztosítja. 
Az aljzathoz nem tartozék a kábel.</t>
        </is>
      </c>
    </row>
    <row r="2351">
      <c r="A2351" s="3" t="inlineStr">
        <is>
          <t>NED 1/WH</t>
        </is>
      </c>
      <c r="B2351" s="2" t="inlineStr">
        <is>
          <t>Home NED 1/WH földelt dugvilla egyenes kábelvezetéssel, rugalmas törésgátlóval, max. 3680 W, fehér</t>
        </is>
      </c>
      <c r="C2351" s="1" t="n">
        <v>539.0</v>
      </c>
      <c r="D2351" s="7" t="n">
        <f>HYPERLINK("https://www.somogyi.hu/product/home-ned-1-wh-foldelt-dugvilla-egyenes-kabelvezetessel-rugalmas-toresgatloval-max-3680-w-feher-ned-1-wh-15411","https://www.somogyi.hu/product/home-ned-1-wh-foldelt-dugvilla-egyenes-kabelvezetessel-rugalmas-toresgatloval-max-3680-w-feher-ned-1-wh-15411")</f>
        <v>0.0</v>
      </c>
      <c r="E2351" s="7" t="n">
        <f>HYPERLINK("https://www.somogyi.hu/data/img/product_main_images/small/15411.jpg","https://www.somogyi.hu/data/img/product_main_images/small/15411.jpg")</f>
        <v>0.0</v>
      </c>
      <c r="F2351" s="2" t="inlineStr">
        <is>
          <t>5999084934453</t>
        </is>
      </c>
      <c r="G2351" s="4" t="inlineStr">
        <is>
          <t>A NED 1/WH Földelt dugvilla egyenes kábelvezetésű. Maximum 3680 W-ig terhelhető.
A fehér dugvilla rugalmas törésgátlóval ellátott, így a hozzá csatlakoztatott kábel nem törik majd meg. 
A dugvillához nem tartozék a kábel.</t>
        </is>
      </c>
    </row>
    <row r="2352">
      <c r="A2352" s="3" t="inlineStr">
        <is>
          <t>NEA 1/WH</t>
        </is>
      </c>
      <c r="B2352" s="2" t="inlineStr">
        <is>
          <t>Home NEA 1/WH földelt aljzat egyenes kábelvezetéssel, aljzat gyermekvédelemmel, rugalmas törésgátlóval, 3680 W, fehér</t>
        </is>
      </c>
      <c r="C2352" s="1" t="n">
        <v>609.0</v>
      </c>
      <c r="D2352" s="7" t="n">
        <f>HYPERLINK("https://www.somogyi.hu/product/home-nea-1-wh-foldelt-aljzat-egyenes-kabelvezetessel-aljzat-gyermekvedelemmel-rugalmas-toresgatloval-3680-w-feher-nea-1-wh-15412","https://www.somogyi.hu/product/home-nea-1-wh-foldelt-aljzat-egyenes-kabelvezetessel-aljzat-gyermekvedelemmel-rugalmas-toresgatloval-3680-w-feher-nea-1-wh-15412")</f>
        <v>0.0</v>
      </c>
      <c r="E2352" s="7" t="n">
        <f>HYPERLINK("https://www.somogyi.hu/data/img/product_main_images/small/15412.jpg","https://www.somogyi.hu/data/img/product_main_images/small/15412.jpg")</f>
        <v>0.0</v>
      </c>
      <c r="F2352" s="2" t="inlineStr">
        <is>
          <t>5999084934460</t>
        </is>
      </c>
      <c r="G2352" s="4" t="inlineStr">
        <is>
          <t>A NEA 1/WH Földelt aljzat egyenes kábelvezetésű. Maximum 3680 W-ig terhelhető. A biztonságos használat érdekében gyermekvédelemmel ellátott. 
A fehér aljzat rugalmas törésgátlóval felszerelt, így a hozzá csatlakoztatott kábel nem törik majd meg. 
Az aljzathoz nem tartozék a kábel.</t>
        </is>
      </c>
    </row>
    <row r="2353">
      <c r="A2353" s="3" t="inlineStr">
        <is>
          <t>NGD 01</t>
        </is>
      </c>
      <c r="B2353" s="2" t="inlineStr">
        <is>
          <t>Home NGD 01 földelt dugvilla egyenes kábelvezetéssel, kül- és beltéren is használható, max. 3680 W, fekete</t>
        </is>
      </c>
      <c r="C2353" s="1" t="n">
        <v>629.0</v>
      </c>
      <c r="D2353" s="7" t="n">
        <f>HYPERLINK("https://www.somogyi.hu/product/home-ngd-01-foldelt-dugvilla-egyenes-kabelvezetessel-kul-es-belteren-is-hasznalhato-max-3680-w-fekete-ngd-01-15413","https://www.somogyi.hu/product/home-ngd-01-foldelt-dugvilla-egyenes-kabelvezetessel-kul-es-belteren-is-hasznalhato-max-3680-w-fekete-ngd-01-15413")</f>
        <v>0.0</v>
      </c>
      <c r="E2353" s="7" t="n">
        <f>HYPERLINK("https://www.somogyi.hu/data/img/product_main_images/small/15413.jpg","https://www.somogyi.hu/data/img/product_main_images/small/15413.jpg")</f>
        <v>0.0</v>
      </c>
      <c r="F2353" s="2" t="inlineStr">
        <is>
          <t>5999084934477</t>
        </is>
      </c>
      <c r="G2353" s="4" t="inlineStr">
        <is>
          <t>Az NGD 01 Földelt dugvilla egyenes kábelvezetésű. Maximum 3680 W-ig terhelhető. A fekete színű dugvilla gumírozott anyagú, kül- és beltéren egyaránt használható. 
A dugvillához nem tartozék a kábel.</t>
        </is>
      </c>
    </row>
    <row r="2354">
      <c r="A2354" s="3" t="inlineStr">
        <is>
          <t>NGD 02</t>
        </is>
      </c>
      <c r="B2354" s="2" t="inlineStr">
        <is>
          <t>Home NGD 02 földelt dugvilla 45°-os kábelvezetéssel, kül- és beltéren is használható, max. 3680 W, fekete</t>
        </is>
      </c>
      <c r="C2354" s="1" t="n">
        <v>769.0</v>
      </c>
      <c r="D2354" s="7" t="n">
        <f>HYPERLINK("https://www.somogyi.hu/product/home-ngd-02-foldelt-dugvilla-45-os-kabelvezetessel-kul-es-belteren-is-hasznalhato-max-3680-w-fekete-ngd-02-15414","https://www.somogyi.hu/product/home-ngd-02-foldelt-dugvilla-45-os-kabelvezetessel-kul-es-belteren-is-hasznalhato-max-3680-w-fekete-ngd-02-15414")</f>
        <v>0.0</v>
      </c>
      <c r="E2354" s="7" t="n">
        <f>HYPERLINK("https://www.somogyi.hu/data/img/product_main_images/small/15414.jpg","https://www.somogyi.hu/data/img/product_main_images/small/15414.jpg")</f>
        <v>0.0</v>
      </c>
      <c r="F2354" s="2" t="inlineStr">
        <is>
          <t>5999084934484</t>
        </is>
      </c>
      <c r="G2354" s="4" t="inlineStr">
        <is>
          <t>Az NGD 02 Földelt dugvilla 45°-os kábelvezetésű. Maximum 3680 W-ig terhelhető. A fekete színű dugvilla gumírozott anyagú, akasztóval ellátott, kül- és beltéren egyaránt használható. 
A dugvillához nem tartozék a kábel.</t>
        </is>
      </c>
    </row>
    <row r="2355">
      <c r="A2355" s="3" t="inlineStr">
        <is>
          <t>NV FP 2</t>
        </is>
      </c>
      <c r="B2355" s="2" t="inlineStr">
        <is>
          <t>Home NV FP 2 földelt csatlakozódugó, IP20 kivitel, extra lapos, max.3680W, fehér</t>
        </is>
      </c>
      <c r="C2355" s="1" t="n">
        <v>919.0</v>
      </c>
      <c r="D2355" s="7" t="n">
        <f>HYPERLINK("https://www.somogyi.hu/product/home-nv-fp-2-foldelt-csatlakozodugo-ip20-kivitel-extra-lapos-max-3680w-feher-nv-fp-2-14330","https://www.somogyi.hu/product/home-nv-fp-2-foldelt-csatlakozodugo-ip20-kivitel-extra-lapos-max-3680w-feher-nv-fp-2-14330")</f>
        <v>0.0</v>
      </c>
      <c r="E2355" s="7" t="n">
        <f>HYPERLINK("https://www.somogyi.hu/data/img/product_main_images/small/14330.jpg","https://www.somogyi.hu/data/img/product_main_images/small/14330.jpg")</f>
        <v>0.0</v>
      </c>
      <c r="F2355" s="2" t="inlineStr">
        <is>
          <t>5999084923785</t>
        </is>
      </c>
      <c r="G2355" s="4" t="inlineStr">
        <is>
          <t>Gyakori jelenség, hogy a bútorok mögötti hálózatokat nehezen tudjuk kihasználni, mivel a szűk hely miatt nem férnek el a hagyományos csatlakozódugók. Ez esetben rendkívül nagy segítséget tud nyújtani egy lapos csatlakozó dugó.
Ismerje meg az NV FP 2 földelt csatlakozódugót, amely előnyös kialakításának köszönhetően könnyedén használhatóak a bútorok mögött. Felhasználhatósága: 250 V~/ max 16 A / max. 3500 W. Válassza a minőségi termékeket és rendeljen webáruházunkból!</t>
        </is>
      </c>
    </row>
    <row r="2356">
      <c r="A2356" s="3" t="inlineStr">
        <is>
          <t>NV 10T</t>
        </is>
      </c>
      <c r="B2356" s="2" t="inlineStr">
        <is>
          <t>Home NV 10T gyermekvédő hálózati ajzatba, minden védőérintkezős aljzatban alkalmazható, megakadályozza a közvetlen kontaktust, 6db/csomag, átlátszó</t>
        </is>
      </c>
      <c r="C2356" s="1" t="n">
        <v>459.0</v>
      </c>
      <c r="D2356" s="7" t="n">
        <f>HYPERLINK("https://www.somogyi.hu/product/home-nv-10t-gyermekvedo-halozati-ajzatba-minden-vedoerintkezos-aljzatban-alkalmazhato-megakadalyozza-a-kozvetlen-kontaktust-6db-csomag-atlatszo-nv-10t-14620","https://www.somogyi.hu/product/home-nv-10t-gyermekvedo-halozati-ajzatba-minden-vedoerintkezos-aljzatban-alkalmazhato-megakadalyozza-a-kozvetlen-kontaktust-6db-csomag-atlatszo-nv-10t-14620")</f>
        <v>0.0</v>
      </c>
      <c r="E2356" s="7" t="n">
        <f>HYPERLINK("https://www.somogyi.hu/data/img/product_main_images/small/14620.jpg","https://www.somogyi.hu/data/img/product_main_images/small/14620.jpg")</f>
        <v>0.0</v>
      </c>
      <c r="F2356" s="2" t="inlineStr">
        <is>
          <t>5999084926625</t>
        </is>
      </c>
      <c r="G2356" s="4" t="inlineStr">
        <is>
          <t>A kisgyermekes otthonokban kiemelt jelentősége van annak, hogy a hálózati aljzatokat ellássuk gyermekvédelemmel! Ennek egyik legmegbízhatóbb eszköze az NV 10T-es átlátszó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57">
      <c r="A2357" s="3" t="inlineStr">
        <is>
          <t>0795S</t>
        </is>
      </c>
      <c r="B2357" s="2" t="inlineStr">
        <is>
          <t>Home 0795S földelt dugvilla világító kapcsolóval, max. 3680W, fehér</t>
        </is>
      </c>
      <c r="C2357" s="1" t="n">
        <v>1690.0</v>
      </c>
      <c r="D2357" s="7" t="n">
        <f>HYPERLINK("https://www.somogyi.hu/product/home-0795s-foldelt-dugvilla-vilagito-kapcsoloval-max-3680w-feher-0795s-10109","https://www.somogyi.hu/product/home-0795s-foldelt-dugvilla-vilagito-kapcsoloval-max-3680w-feher-0795s-10109")</f>
        <v>0.0</v>
      </c>
      <c r="E2357" s="7" t="n">
        <f>HYPERLINK("https://www.somogyi.hu/data/img/product_main_images/small/10109.jpg","https://www.somogyi.hu/data/img/product_main_images/small/10109.jpg")</f>
        <v>0.0</v>
      </c>
      <c r="F2357" s="2" t="inlineStr">
        <is>
          <t>4004282407959</t>
        </is>
      </c>
      <c r="G2357" s="4" t="inlineStr">
        <is>
          <t>Egy igazán praktikus kialakítással rendelkező dugvillát szeretne vásárolni? Ez esetben a 0795S garantáltan ideális választás lesz a számára!
A termék egy világító kapcsolóval is rendelkezik, amellyel könnyedén szabályozható az áramellátás. A dugvilla fehér színű kivitelben készült. Felhasználhatósága: 16 A. Válassza a minőségi termékeket és rendeljen webáruházunkból.</t>
        </is>
      </c>
    </row>
    <row r="2358">
      <c r="A2358" s="3" t="inlineStr">
        <is>
          <t>NV 10</t>
        </is>
      </c>
      <c r="B2358" s="2" t="inlineStr">
        <is>
          <t>Home NV 10 gyermekvédő hálózati ajzatba, minden védőérintkezős aljzatban alkalmazható, megakadályozza a közvetlen kontaktust, 6db/csomag, fehér</t>
        </is>
      </c>
      <c r="C2358" s="1" t="n">
        <v>459.0</v>
      </c>
      <c r="D2358" s="7" t="n">
        <f>HYPERLINK("https://www.somogyi.hu/product/home-nv-10-gyermekvedo-halozati-ajzatba-minden-vedoerintkezos-aljzatban-alkalmazhato-megakadalyozza-a-kozvetlen-kontaktust-6db-csomag-feher-nv-10-4535","https://www.somogyi.hu/product/home-nv-10-gyermekvedo-halozati-ajzatba-minden-vedoerintkezos-aljzatban-alkalmazhato-megakadalyozza-a-kozvetlen-kontaktust-6db-csomag-feher-nv-10-4535")</f>
        <v>0.0</v>
      </c>
      <c r="E2358" s="7" t="n">
        <f>HYPERLINK("https://www.somogyi.hu/data/img/product_main_images/small/04535.jpg","https://www.somogyi.hu/data/img/product_main_images/small/04535.jpg")</f>
        <v>0.0</v>
      </c>
      <c r="F2358" s="2" t="inlineStr">
        <is>
          <t>5998312739938</t>
        </is>
      </c>
      <c r="G2358" s="4" t="inlineStr">
        <is>
          <t>A kisgyermekes otthonokban kiemelt jelentősége van annak, hogy a hálózati aljzatokat ellássuk gyermekvédelemmel! Ennek egyik legmegbízhatóbb eszköze az NV 10-es fehér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59">
      <c r="A2359" s="3" t="inlineStr">
        <is>
          <t>NED 1/BK</t>
        </is>
      </c>
      <c r="B2359" s="2" t="inlineStr">
        <is>
          <t>Home NED 1/BK földelt dugvilla egyenes kábelvezetéssel, rugalmas törésgátlóval, max. 3680 W, fekete</t>
        </is>
      </c>
      <c r="C2359" s="1" t="n">
        <v>539.0</v>
      </c>
      <c r="D2359" s="7" t="n">
        <f>HYPERLINK("https://www.somogyi.hu/product/home-ned-1-bk-foldelt-dugvilla-egyenes-kabelvezetessel-rugalmas-toresgatloval-max-3680-w-fekete-ned-1-bk-16886","https://www.somogyi.hu/product/home-ned-1-bk-foldelt-dugvilla-egyenes-kabelvezetessel-rugalmas-toresgatloval-max-3680-w-fekete-ned-1-bk-16886")</f>
        <v>0.0</v>
      </c>
      <c r="E2359" s="7" t="n">
        <f>HYPERLINK("https://www.somogyi.hu/data/img/product_main_images/small/16886.jpg","https://www.somogyi.hu/data/img/product_main_images/small/16886.jpg")</f>
        <v>0.0</v>
      </c>
      <c r="F2359" s="2" t="inlineStr">
        <is>
          <t>5999084949181</t>
        </is>
      </c>
      <c r="G2359" s="4" t="inlineStr">
        <is>
          <t>A NED 1/BK Földelt dugvilla egyenes kábelvezetésű. Maximum 3680 W-ig terhelhető. 
A fekete dugvilla rugalmas törésgátlóval ellátott, így a hozzá csatlakoztatott kábel nem törik majd meg. 
A dugvillához nem tartozék a kábel.</t>
        </is>
      </c>
    </row>
    <row r="2360">
      <c r="A2360" s="3" t="inlineStr">
        <is>
          <t>0142H</t>
        </is>
      </c>
      <c r="B2360" s="2" t="inlineStr">
        <is>
          <t>Földelt dugvilla középső kábelbevezetéssel, fekete</t>
        </is>
      </c>
      <c r="C2360" s="1" t="n">
        <v>609.0</v>
      </c>
      <c r="D2360" s="7" t="n">
        <f>HYPERLINK("https://www.somogyi.hu/product/foldelt-dugvilla-kozepso-kabelbevezetessel-fekete-0142h-13938","https://www.somogyi.hu/product/foldelt-dugvilla-kozepso-kabelbevezetessel-fekete-0142h-13938")</f>
        <v>0.0</v>
      </c>
      <c r="E2360" s="7" t="n">
        <f>HYPERLINK("https://www.somogyi.hu/data/img/product_main_images/small/13938.jpg","https://www.somogyi.hu/data/img/product_main_images/small/13938.jpg")</f>
        <v>0.0</v>
      </c>
      <c r="F2360" s="2" t="inlineStr">
        <is>
          <t>4004282401421</t>
        </is>
      </c>
      <c r="G2360" s="4" t="inlineStr">
        <is>
          <t>Az elektromos áramot vezető kellékeknél kiemelt jelentősége van annak, hogy csakis a legmegbízhatóbb termékeket használjuk. 
A 0142S fekete színű földelt dugvilla középső kábelkivezetéssel rendelkezik, amely garantáltan az egyik legmegbízhatóbb szerelhető kellék. Áramerőssége: 10 A. Válassza a minőségi termékeket és rendeljen webáruházunkból!</t>
        </is>
      </c>
    </row>
    <row r="2361">
      <c r="A2361" s="3" t="inlineStr">
        <is>
          <t>NGD 03</t>
        </is>
      </c>
      <c r="B2361" s="2" t="inlineStr">
        <is>
          <t>Home NGD 03 földelt dugvilla egyenes kábelvezetéssel, kül- és beltéren is használható, max. 3680 W, fehér</t>
        </is>
      </c>
      <c r="C2361" s="1" t="n">
        <v>699.0</v>
      </c>
      <c r="D2361" s="7" t="n">
        <f>HYPERLINK("https://www.somogyi.hu/product/home-ngd-03-foldelt-dugvilla-egyenes-kabelvezetessel-kul-es-belteren-is-hasznalhato-max-3680-w-feher-ngd-03-15858","https://www.somogyi.hu/product/home-ngd-03-foldelt-dugvilla-egyenes-kabelvezetessel-kul-es-belteren-is-hasznalhato-max-3680-w-feher-ngd-03-15858")</f>
        <v>0.0</v>
      </c>
      <c r="E2361" s="7" t="n">
        <f>HYPERLINK("https://www.somogyi.hu/data/img/product_main_images/small/15858.jpg","https://www.somogyi.hu/data/img/product_main_images/small/15858.jpg")</f>
        <v>0.0</v>
      </c>
      <c r="F2361" s="2" t="inlineStr">
        <is>
          <t>5999084938925</t>
        </is>
      </c>
      <c r="G2361" s="4" t="inlineStr">
        <is>
          <t>Az NGD 03 Földelt dugvilla egyenes kábelvezetésű. Maximum 3680 W-ig terhelhető. A fehér színű dugvilla gumírozott anyagú, kül- és beltéren egyaránt használható.
A dugvillához nem tartozék a kábel.</t>
        </is>
      </c>
    </row>
    <row r="2362">
      <c r="A2362" s="3" t="inlineStr">
        <is>
          <t>NPD 1/BK</t>
        </is>
      </c>
      <c r="B2362" s="2" t="inlineStr">
        <is>
          <t>Home NPD 1/BK földelt dugvilla oldalsó kábelvezetéssel, rugalmas törésgátlóval, max. 3680 W, fekete</t>
        </is>
      </c>
      <c r="C2362" s="1" t="n">
        <v>519.0</v>
      </c>
      <c r="D2362" s="7" t="n">
        <f>HYPERLINK("https://www.somogyi.hu/product/home-npd-1-bk-foldelt-dugvilla-oldalso-kabelvezetessel-rugalmas-toresgatloval-max-3680-w-fekete-npd-1-bk-16618","https://www.somogyi.hu/product/home-npd-1-bk-foldelt-dugvilla-oldalso-kabelvezetessel-rugalmas-toresgatloval-max-3680-w-fekete-npd-1-bk-16618")</f>
        <v>0.0</v>
      </c>
      <c r="E2362" s="7" t="n">
        <f>HYPERLINK("https://www.somogyi.hu/data/img/product_main_images/small/16618.jpg","https://www.somogyi.hu/data/img/product_main_images/small/16618.jpg")</f>
        <v>0.0</v>
      </c>
      <c r="F2362" s="2" t="inlineStr">
        <is>
          <t>5999084946500</t>
        </is>
      </c>
      <c r="G2362" s="4" t="inlineStr">
        <is>
          <t>Az NPD 1/BK Földelt dugvilla oldalsó kábelvezetésű. Maximum 3680 W-ig terhelhető. 
A fekete dugvilla rugalmas törésgátlóval ellátott, így a hozzá csatlakoztatott kábel nem törik majd meg. 
A dugvillához nem tartozék a kábel.</t>
        </is>
      </c>
    </row>
    <row r="2363">
      <c r="A2363" s="3" t="inlineStr">
        <is>
          <t>NPD 1/WH</t>
        </is>
      </c>
      <c r="B2363" s="2" t="inlineStr">
        <is>
          <t>Home NPD 1/WH földelt dugvilla oldalsó kábelvezetéssel, rugalmas törésgátlóval, max. 3680 W, fehér</t>
        </is>
      </c>
      <c r="C2363" s="1" t="n">
        <v>519.0</v>
      </c>
      <c r="D2363" s="7" t="n">
        <f>HYPERLINK("https://www.somogyi.hu/product/home-npd-1-wh-foldelt-dugvilla-oldalso-kabelvezetessel-rugalmas-toresgatloval-max-3680-w-feher-npd-1-wh-15410","https://www.somogyi.hu/product/home-npd-1-wh-foldelt-dugvilla-oldalso-kabelvezetessel-rugalmas-toresgatloval-max-3680-w-feher-npd-1-wh-15410")</f>
        <v>0.0</v>
      </c>
      <c r="E2363" s="7" t="n">
        <f>HYPERLINK("https://www.somogyi.hu/data/img/product_main_images/small/15410.jpg","https://www.somogyi.hu/data/img/product_main_images/small/15410.jpg")</f>
        <v>0.0</v>
      </c>
      <c r="F2363" s="2" t="inlineStr">
        <is>
          <t>5999084934446</t>
        </is>
      </c>
      <c r="G2363" s="4" t="inlineStr">
        <is>
          <t>Az NPD 1/WH Földelt dugvilla oldalsó kábelvezetésű. Maximum 3680 W-ig terhelhető. 
A fehér dugvilla rugalmas törésgátlóval ellátott, így a hozzá csatlakoztatott kábel nem törik majd meg. 
A dugvillához nem tartozék a kábel.</t>
        </is>
      </c>
    </row>
    <row r="2364">
      <c r="A2364" s="3" t="inlineStr">
        <is>
          <t>NEA 1/BK</t>
        </is>
      </c>
      <c r="B2364" s="2" t="inlineStr">
        <is>
          <t>Home NEA 1/BK földelt aljzat egyenes kábelvezetéssel, aljzat gyermekvédelemmel, rugalmas törésgátlóval, 3680 W, fekete</t>
        </is>
      </c>
      <c r="C2364" s="1" t="n">
        <v>609.0</v>
      </c>
      <c r="D2364" s="7" t="n">
        <f>HYPERLINK("https://www.somogyi.hu/product/home-nea-1-bk-foldelt-aljzat-egyenes-kabelvezetessel-aljzat-gyermekvedelemmel-rugalmas-toresgatloval-3680-w-fekete-nea-1-bk-16619","https://www.somogyi.hu/product/home-nea-1-bk-foldelt-aljzat-egyenes-kabelvezetessel-aljzat-gyermekvedelemmel-rugalmas-toresgatloval-3680-w-fekete-nea-1-bk-16619")</f>
        <v>0.0</v>
      </c>
      <c r="E2364" s="7" t="n">
        <f>HYPERLINK("https://www.somogyi.hu/data/img/product_main_images/small/16619.jpg","https://www.somogyi.hu/data/img/product_main_images/small/16619.jpg")</f>
        <v>0.0</v>
      </c>
      <c r="F2364" s="2" t="inlineStr">
        <is>
          <t>5999084946517</t>
        </is>
      </c>
      <c r="G2364" s="4" t="inlineStr">
        <is>
          <t>A NEA 1/BK Földelt aljzat egyenes kábelvezetésű. Maximum 3680 W-ig terhelhető. A biztonságos használat érdekében gyermekvédelemmel ellátott. 
A fekete aljzat rugalmas törésgátlóval felszerelt, így a hozzá csatlakoztatott kábel nem törik majd meg. 
Az aljzathoz nem tartozék a kábel.</t>
        </is>
      </c>
    </row>
    <row r="2365">
      <c r="A2365" s="6" t="inlineStr">
        <is>
          <t xml:space="preserve">   Villamosság / Hálózati kábel, csatlakozó</t>
        </is>
      </c>
      <c r="B2365" s="6" t="inlineStr">
        <is>
          <t/>
        </is>
      </c>
      <c r="C2365" s="6" t="inlineStr">
        <is>
          <t/>
        </is>
      </c>
      <c r="D2365" s="6" t="inlineStr">
        <is>
          <t/>
        </is>
      </c>
      <c r="E2365" s="6" t="inlineStr">
        <is>
          <t/>
        </is>
      </c>
      <c r="F2365" s="6" t="inlineStr">
        <is>
          <t/>
        </is>
      </c>
      <c r="G2365" s="6" t="inlineStr">
        <is>
          <t/>
        </is>
      </c>
    </row>
    <row r="2366">
      <c r="A2366" s="3" t="inlineStr">
        <is>
          <t>N 11/VDE</t>
        </is>
      </c>
      <c r="B2366" s="2" t="inlineStr">
        <is>
          <t>Home N 11/VDE hálózati csatlakozókábel, 1,5 m, H03VVH2-F 2x0,5 mm2, max.500W, fekete</t>
        </is>
      </c>
      <c r="C2366" s="1" t="n">
        <v>769.0</v>
      </c>
      <c r="D2366" s="7" t="n">
        <f>HYPERLINK("https://www.somogyi.hu/product/home-n-11-vde-halozati-csatlakozokabel-1-5-m-h03vvh2-f-2x0-5-mm2-max-500w-fekete-n-11-vde-3139","https://www.somogyi.hu/product/home-n-11-vde-halozati-csatlakozokabel-1-5-m-h03vvh2-f-2x0-5-mm2-max-500w-fekete-n-11-vde-3139")</f>
        <v>0.0</v>
      </c>
      <c r="E2366" s="7" t="n">
        <f>HYPERLINK("https://www.somogyi.hu/data/img/product_main_images/small/03139.jpg","https://www.somogyi.hu/data/img/product_main_images/small/03139.jpg")</f>
        <v>0.0</v>
      </c>
      <c r="F2366" s="2" t="inlineStr">
        <is>
          <t>5998312734636</t>
        </is>
      </c>
      <c r="G2366" s="4" t="inlineStr">
        <is>
          <t>Vásároljon Ön is megbízható, masszív kivitelben kapható hálózati csatlakozókábelt! Az N 11/ VDE fekete színű 1,5 méter hosszúságú hálózati vezeték, amely 2 x 0,5 mm²-es kivitelben kapható. Felhasználhatósága: 250 V~ / 2,5 A / 500 W. Válassza a minőségi termékeket és rendeljen webáruházunkból.</t>
        </is>
      </c>
    </row>
    <row r="2367">
      <c r="A2367" s="3" t="inlineStr">
        <is>
          <t>N 2K-2/WH</t>
        </is>
      </c>
      <c r="B2367" s="2" t="inlineStr">
        <is>
          <t>Home N 2K-2/WH hálózati csatlakozókábel kapcsolóval, 2 m, H03VVH2-F 2x0,75 mm2 kábellel, egypólusú kapcsolóval, max.460W, fehér</t>
        </is>
      </c>
      <c r="C2367" s="1" t="n">
        <v>1290.0</v>
      </c>
      <c r="D2367" s="7" t="n">
        <f>HYPERLINK("https://www.somogyi.hu/product/home-n-2k-2-wh-halozati-csatlakozokabel-kapcsoloval-2-m-h03vvh2-f-2x0-75-mm2-kabellel-egypolusu-kapcsoloval-max-460w-feher-n-2k-2-wh-9812","https://www.somogyi.hu/product/home-n-2k-2-wh-halozati-csatlakozokabel-kapcsoloval-2-m-h03vvh2-f-2x0-75-mm2-kabellel-egypolusu-kapcsoloval-max-460w-feher-n-2k-2-wh-9812")</f>
        <v>0.0</v>
      </c>
      <c r="E2367" s="7" t="n">
        <f>HYPERLINK("https://www.somogyi.hu/data/img/product_main_images/small/09812.jpg","https://www.somogyi.hu/data/img/product_main_images/small/09812.jpg")</f>
        <v>0.0</v>
      </c>
      <c r="F2367" s="2" t="inlineStr">
        <is>
          <t>5998312785386</t>
        </is>
      </c>
      <c r="G2367" s="4" t="inlineStr">
        <is>
          <t>Vásároljon Ön is megbízható, masszív kivitelben kapható hálózati csatlakozókábelt! Az N 2K-2/WH egy fehér színű 2 méteres hosszúságú csatlakozókábel egypólusú kapcsolóval. Felhasználhatósága: 250 V~ / 50 Hz / max. 2 A / max. 460 W. Válassza a minőségi termékeket és rendeljen webáruházunkból.</t>
        </is>
      </c>
    </row>
    <row r="2368">
      <c r="A2368" s="3" t="inlineStr">
        <is>
          <t>N 2K-2/BK</t>
        </is>
      </c>
      <c r="B2368" s="2" t="inlineStr">
        <is>
          <t>Home N 2K-2/BK hálózati csatlakozókábel kapcsolóval, 2 m, H03VVH2-F 2x0,75 mm2 kábellel, egypólusú kapcsolóval, max.460W, fekete</t>
        </is>
      </c>
      <c r="C2368" s="1" t="n">
        <v>1290.0</v>
      </c>
      <c r="D2368" s="7" t="n">
        <f>HYPERLINK("https://www.somogyi.hu/product/home-n-2k-2-bk-halozati-csatlakozokabel-kapcsoloval-2-m-h03vvh2-f-2x0-75-mm2-kabellel-egypolusu-kapcsoloval-max-460w-fekete-n-2k-2-bk-15829","https://www.somogyi.hu/product/home-n-2k-2-bk-halozati-csatlakozokabel-kapcsoloval-2-m-h03vvh2-f-2x0-75-mm2-kabellel-egypolusu-kapcsoloval-max-460w-fekete-n-2k-2-bk-15829")</f>
        <v>0.0</v>
      </c>
      <c r="E2368" s="7" t="n">
        <f>HYPERLINK("https://www.somogyi.hu/data/img/product_main_images/small/15829.jpg","https://www.somogyi.hu/data/img/product_main_images/small/15829.jpg")</f>
        <v>0.0</v>
      </c>
      <c r="F2368" s="2" t="inlineStr">
        <is>
          <t>5999084938635</t>
        </is>
      </c>
      <c r="G2368" s="4" t="inlineStr">
        <is>
          <t>Vásároljon Ön is megbízható, masszív kivitelben kapható hálózati csatlakozókábelt! Az N 2K-2/BK egy fekete színű 2 méteres hosszúságú csatlakozókábel egypólusú kapcsolóval. Felhasználhatósága: 250 V~ / 50 Hz / max. 2 A / max. 460 W. Válassza a minőségi termékeket és rendeljen webáruházunkból.</t>
        </is>
      </c>
    </row>
    <row r="2369">
      <c r="A2369" s="3" t="inlineStr">
        <is>
          <t>N 1/VDE</t>
        </is>
      </c>
      <c r="B2369" s="2" t="inlineStr">
        <is>
          <t>Home N 1/VDE hálózati csatlakozókábel, 1,5 m, H03VVH2-F 2x0,75 mm2, max.500 W, fekete</t>
        </is>
      </c>
      <c r="C2369" s="1" t="n">
        <v>919.0</v>
      </c>
      <c r="D2369" s="7" t="n">
        <f>HYPERLINK("https://www.somogyi.hu/product/home-n-1-vde-halozati-csatlakozokabel-1-5-m-h03vvh2-f-2x0-75-mm2-max-500-w-fekete-n-1-vde-2630","https://www.somogyi.hu/product/home-n-1-vde-halozati-csatlakozokabel-1-5-m-h03vvh2-f-2x0-75-mm2-max-500-w-fekete-n-1-vde-2630")</f>
        <v>0.0</v>
      </c>
      <c r="E2369" s="7" t="n">
        <f>HYPERLINK("https://www.somogyi.hu/data/img/product_main_images/small/02630.jpg","https://www.somogyi.hu/data/img/product_main_images/small/02630.jpg")</f>
        <v>0.0</v>
      </c>
      <c r="F2369" s="2" t="inlineStr">
        <is>
          <t>5998312729458</t>
        </is>
      </c>
      <c r="G2369" s="4" t="inlineStr">
        <is>
          <t>Az N1/VDE Hálózati csatlakozókábel 1,5 méter hosszú 2x 0,75 mm2 vezetékkel ellátott. Kétpólusú EURO dugóval szerelt. Maximum 500 W-ig terhelhető.</t>
        </is>
      </c>
    </row>
    <row r="2370">
      <c r="A2370" s="3" t="inlineStr">
        <is>
          <t>N 5</t>
        </is>
      </c>
      <c r="B2370" s="2" t="inlineStr">
        <is>
          <t>Home N 5 számítógépes hálózati csatlakozókábel, 2 m, H05VV-F 3G0,75 mm2 kábellel, védőérintkezős, max.1380W, fekete</t>
        </is>
      </c>
      <c r="C2370" s="1" t="n">
        <v>1850.0</v>
      </c>
      <c r="D2370" s="7" t="n">
        <f>HYPERLINK("https://www.somogyi.hu/product/home-n-5-szamitogepes-halozati-csatlakozokabel-2-m-h05vv-f-3g0-75-mm2-kabellel-vedoerintkezos-max-1380w-fekete-n-5-1813","https://www.somogyi.hu/product/home-n-5-szamitogepes-halozati-csatlakozokabel-2-m-h05vv-f-3g0-75-mm2-kabellel-vedoerintkezos-max-1380w-fekete-n-5-1813")</f>
        <v>0.0</v>
      </c>
      <c r="E2370" s="7" t="n">
        <f>HYPERLINK("https://www.somogyi.hu/data/img/product_main_images/small/01813.jpg","https://www.somogyi.hu/data/img/product_main_images/small/01813.jpg")</f>
        <v>0.0</v>
      </c>
      <c r="F2370" s="2" t="inlineStr">
        <is>
          <t>5998312703205</t>
        </is>
      </c>
      <c r="G2370" s="4" t="inlineStr">
        <is>
          <t>Vásároljon Ön is megbízható, masszív kivitelben kapható hálózati csatlakozókábelt! Az N 5 fekete színű 2 méter hosszúságú védőérintkezős hálózati vezeték, amely 3 x 0,75 mm²-es kivitelben kapható. Felhasználhatósága: 250 V~ / 6 A / 2300 W. Válassza a minőségi termékeket és rendeljen webáruházunkból.</t>
        </is>
      </c>
    </row>
    <row r="2371">
      <c r="A2371" s="3" t="inlineStr">
        <is>
          <t>N 1-2WH/VDE</t>
        </is>
      </c>
      <c r="B2371" s="2" t="inlineStr">
        <is>
          <t>Home N 1-2WH/VDE hálózati csatlakozókábel, 2 m, H03VVH2-F 2x0,75 mm2 kábellel, max.500W, fehér</t>
        </is>
      </c>
      <c r="C2371" s="1" t="n">
        <v>989.0</v>
      </c>
      <c r="D2371" s="7" t="n">
        <f>HYPERLINK("https://www.somogyi.hu/product/home-n-1-2wh-vde-halozati-csatlakozokabel-2-m-h03vvh2-f-2x0-75-mm2-kabellel-max-500w-feher-n-1-2wh-vde-14920","https://www.somogyi.hu/product/home-n-1-2wh-vde-halozati-csatlakozokabel-2-m-h03vvh2-f-2x0-75-mm2-kabellel-max-500w-feher-n-1-2wh-vde-14920")</f>
        <v>0.0</v>
      </c>
      <c r="E2371" s="7" t="n">
        <f>HYPERLINK("https://www.somogyi.hu/data/img/product_main_images/small/14920.jpg","https://www.somogyi.hu/data/img/product_main_images/small/14920.jpg")</f>
        <v>0.0</v>
      </c>
      <c r="F2371" s="2" t="inlineStr">
        <is>
          <t>2221295500039</t>
        </is>
      </c>
      <c r="G2371" s="4" t="inlineStr">
        <is>
          <t>Az N1-2/WH/VDE Hálózati csatlakozókábel 2 méter hosszú 2x 0,75 mm2 vezetékkel ellátott. Kétpólusú EURO dugvillával szerelt.</t>
        </is>
      </c>
    </row>
    <row r="2372">
      <c r="A2372" s="3" t="inlineStr">
        <is>
          <t>N 2/VDE</t>
        </is>
      </c>
      <c r="B2372" s="2" t="inlineStr">
        <is>
          <t>Home N 2/VDE hálózati csatlakozókábel, 1,5 m, H03VVH2-F 2x0,75 mm2 kábel, ónozott véggel, max.500W, fekete</t>
        </is>
      </c>
      <c r="C2372" s="1" t="n">
        <v>749.0</v>
      </c>
      <c r="D2372" s="7" t="n">
        <f>HYPERLINK("https://www.somogyi.hu/product/home-n-2-vde-halozati-csatlakozokabel-1-5-m-h03vvh2-f-2x0-75-mm2-kabel-onozott-veggel-max-500w-fekete-n-2-vde-2141","https://www.somogyi.hu/product/home-n-2-vde-halozati-csatlakozokabel-1-5-m-h03vvh2-f-2x0-75-mm2-kabel-onozott-veggel-max-500w-fekete-n-2-vde-2141")</f>
        <v>0.0</v>
      </c>
      <c r="E2372" s="7" t="n">
        <f>HYPERLINK("https://www.somogyi.hu/data/img/product_main_images/small/02141.jpg","https://www.somogyi.hu/data/img/product_main_images/small/02141.jpg")</f>
        <v>0.0</v>
      </c>
      <c r="F2372" s="2" t="inlineStr">
        <is>
          <t>5998312724019</t>
        </is>
      </c>
      <c r="G2372" s="4" t="inlineStr">
        <is>
          <t>Vásároljon Ön is megbízható, masszív kivitelben kapható hálózati csatlakozókábelt! Az N 2/ VDE fekete színű, ónozott véggel rendelkező 1,5 méter hosszúságú hálózati vezeték, amely 2 x 0,75 mm²-es kivitelben kapható. Felhasználhatósága: 250 V~ / 2,5 A / 500 W. Válassza a minőségi termékeket és rendeljen webáruházunkból.</t>
        </is>
      </c>
    </row>
    <row r="2373">
      <c r="A2373" s="3" t="inlineStr">
        <is>
          <t>N 7</t>
        </is>
      </c>
      <c r="B2373" s="2" t="inlineStr">
        <is>
          <t>Home N 7 hálózati csatlakozókábel, 2 m, H05VV-F 3G0,75 mm2 kábellel, védőérintkezős, max.1380W, fehér</t>
        </is>
      </c>
      <c r="C2373" s="1" t="n">
        <v>1550.0</v>
      </c>
      <c r="D2373" s="7" t="n">
        <f>HYPERLINK("https://www.somogyi.hu/product/home-n-7-halozati-csatlakozokabel-2-m-h05vv-f-3g0-75-mm2-kabellel-vedoerintkezos-max-1380w-feher-n-7-3108","https://www.somogyi.hu/product/home-n-7-halozati-csatlakozokabel-2-m-h05vv-f-3g0-75-mm2-kabellel-vedoerintkezos-max-1380w-feher-n-7-3108")</f>
        <v>0.0</v>
      </c>
      <c r="E2373" s="7" t="n">
        <f>HYPERLINK("https://www.somogyi.hu/data/img/product_main_images/small/03108.jpg","https://www.somogyi.hu/data/img/product_main_images/small/03108.jpg")</f>
        <v>0.0</v>
      </c>
      <c r="F2373" s="2" t="inlineStr">
        <is>
          <t>5998312734322</t>
        </is>
      </c>
      <c r="G2373" s="4" t="inlineStr">
        <is>
          <t>Vásároljon Ön is megbízható, masszív kivitelben kapható hálózati csatlakozókábelt! Az N 7 fehér színű 2 méter hosszúságú védőérintkezős hálózati vezeték, amely 3 x 0,75 mm²-es kivitelben kapható. Felhasználhatósága: 250 V~ / 6 A / 2300 W. Válassza a minőségi termékeket és rendeljen webáruházunkból.</t>
        </is>
      </c>
    </row>
    <row r="2374">
      <c r="A2374" s="3" t="inlineStr">
        <is>
          <t>AC 1D</t>
        </is>
      </c>
      <c r="B2374" s="2" t="inlineStr">
        <is>
          <t>Home AC 1D, AC lengődugó, 3 pólus, 10A, 2300W, csavarozható</t>
        </is>
      </c>
      <c r="C2374" s="1" t="n">
        <v>659.0</v>
      </c>
      <c r="D2374" s="7" t="n">
        <f>HYPERLINK("https://www.somogyi.hu/product/home-ac-1d-ac-lengodugo-3-polus-10a-2300w-csavarozhato-ac-1d-1703","https://www.somogyi.hu/product/home-ac-1d-ac-lengodugo-3-polus-10a-2300w-csavarozhato-ac-1d-1703")</f>
        <v>0.0</v>
      </c>
      <c r="E2374" s="7" t="n">
        <f>HYPERLINK("https://www.somogyi.hu/data/img/product_main_images/small/01703.jpg","https://www.somogyi.hu/data/img/product_main_images/small/01703.jpg")</f>
        <v>0.0</v>
      </c>
      <c r="F2374" s="2" t="inlineStr">
        <is>
          <t>5998312700686</t>
        </is>
      </c>
      <c r="G2374" s="4" t="inlineStr">
        <is>
          <t>Keresse bátran széles kínálatunkban az igényeinek megfelelő hálózati kábeleket és csatlakozókat!
3 pólusú (230 V~ / 10 A / 2300 W) AC dugó. Az AC 2D típus csavarozható kivitelben kapható. Válassza a minőségi termékeket és rendeljen webáruházunkból.</t>
        </is>
      </c>
    </row>
    <row r="2375">
      <c r="A2375" s="3" t="inlineStr">
        <is>
          <t>N 10-5/1,0</t>
        </is>
      </c>
      <c r="B2375" s="2" t="inlineStr">
        <is>
          <t>Home N 10-5/1,0 hálózati csatlakozókábel, 5 m, H05RN-F 2 x 1,0 mm2 gumikábel,  IP44 védettség, max.2300W, fekete</t>
        </is>
      </c>
      <c r="C2375" s="1" t="n">
        <v>2890.0</v>
      </c>
      <c r="D2375" s="7" t="n">
        <f>HYPERLINK("https://www.somogyi.hu/product/home-n-10-5-1-0-halozati-csatlakozokabel-5-m-h05rn-f-2-x-1-0-mm2-gumikabel-ip44-vedettseg-max-2300w-fekete-n-10-5-1-0-9811","https://www.somogyi.hu/product/home-n-10-5-1-0-halozati-csatlakozokabel-5-m-h05rn-f-2-x-1-0-mm2-gumikabel-ip44-vedettseg-max-2300w-fekete-n-10-5-1-0-9811")</f>
        <v>0.0</v>
      </c>
      <c r="E2375" s="7" t="n">
        <f>HYPERLINK("https://www.somogyi.hu/data/img/product_main_images/small/09811.jpg","https://www.somogyi.hu/data/img/product_main_images/small/09811.jpg")</f>
        <v>0.0</v>
      </c>
      <c r="F2375" s="2" t="inlineStr">
        <is>
          <t>5998312785379</t>
        </is>
      </c>
      <c r="G2375" s="4" t="inlineStr">
        <is>
          <t>Az N10-5/1,0 Hálózati csatlakozókábel 5 m hosszú H05RN-F 2x1,0 mm2 gumi vezetékkel ellátott. A termék gumírozott anyagú, kül- és beltéren egyaránt használható.  Maximum 2300 W-ig terhelhető.</t>
        </is>
      </c>
    </row>
    <row r="2376">
      <c r="A2376" s="3" t="inlineStr">
        <is>
          <t>AC 1A</t>
        </is>
      </c>
      <c r="B2376" s="2" t="inlineStr">
        <is>
          <t>Home AC 1A, AC lengőaljzat, 3 pólus, 10A, 2300W, csavarozható</t>
        </is>
      </c>
      <c r="C2376" s="1" t="n">
        <v>659.0</v>
      </c>
      <c r="D2376" s="7" t="n">
        <f>HYPERLINK("https://www.somogyi.hu/product/home-ac-1a-ac-lengoaljzat-3-polus-10a-2300w-csavarozhato-ac-1a-1702","https://www.somogyi.hu/product/home-ac-1a-ac-lengoaljzat-3-polus-10a-2300w-csavarozhato-ac-1a-1702")</f>
        <v>0.0</v>
      </c>
      <c r="E2376" s="7" t="n">
        <f>HYPERLINK("https://www.somogyi.hu/data/img/product_main_images/small/01702.jpg","https://www.somogyi.hu/data/img/product_main_images/small/01702.jpg")</f>
        <v>0.0</v>
      </c>
      <c r="F2376" s="2" t="inlineStr">
        <is>
          <t>5998312700679</t>
        </is>
      </c>
      <c r="G2376" s="4" t="inlineStr">
        <is>
          <t>Keresse bátran széles kínálatunkban az igényeinek megfelelő hálózati kábeleket és csatlakozókat!
3 pólusú (230 V~ / 10 A / 2300 W) AC lengőaljzat. Az AC 2A típus csavarozható kivitelben kapható. Válassza a minőségi termékeket és rendeljen webáruházunkból.</t>
        </is>
      </c>
    </row>
    <row r="2377">
      <c r="A2377" s="3" t="inlineStr">
        <is>
          <t>N 8-3/1,5</t>
        </is>
      </c>
      <c r="B2377" s="2" t="inlineStr">
        <is>
          <t>Home N 8-3/1,5 hálózati csatlakozókábel, 3 m, H05RR-F3G1,5mm2 gumikábellel,  IP44 csatlakozódugó, védőérintkezős, max.3680W, fekete</t>
        </is>
      </c>
      <c r="C2377" s="1" t="n">
        <v>3490.0</v>
      </c>
      <c r="D2377" s="7" t="n">
        <f>HYPERLINK("https://www.somogyi.hu/product/home-n-8-3-1-5-halozati-csatlakozokabel-3-m-h05rr-f3g1-5mm2-gumikabellel-ip44-csatlakozodugo-vedoerintkezos-max-3680w-fekete-n-8-3-1-5-9806","https://www.somogyi.hu/product/home-n-8-3-1-5-halozati-csatlakozokabel-3-m-h05rr-f3g1-5mm2-gumikabellel-ip44-csatlakozodugo-vedoerintkezos-max-3680w-fekete-n-8-3-1-5-9806")</f>
        <v>0.0</v>
      </c>
      <c r="E2377" s="7" t="n">
        <f>HYPERLINK("https://www.somogyi.hu/data/img/product_main_images/small/09806.jpg","https://www.somogyi.hu/data/img/product_main_images/small/09806.jpg")</f>
        <v>0.0</v>
      </c>
      <c r="F2377" s="2" t="inlineStr">
        <is>
          <t>5998312785324</t>
        </is>
      </c>
      <c r="G2377" s="4" t="inlineStr">
        <is>
          <t>Vásároljon Ön is megbízható, masszív kivitelben kapható hálózati csatlakozókábelt! Az N 8-3/1,5
fekete színű 3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78">
      <c r="A2378" s="3" t="inlineStr">
        <is>
          <t>N 8-5/1,5</t>
        </is>
      </c>
      <c r="B2378" s="2" t="inlineStr">
        <is>
          <t>Home N 8-5/1,5 hálózati csatlakozókábel, 5 m, H05RR-F3G1,5mm2 gumikábellel,  IP44 csatlakozódugó, védőérintkezős, max.3680W, fekete</t>
        </is>
      </c>
      <c r="C2378" s="1" t="n">
        <v>5090.0</v>
      </c>
      <c r="D2378" s="7" t="n">
        <f>HYPERLINK("https://www.somogyi.hu/product/home-n-8-5-1-5-halozati-csatlakozokabel-5-m-h05rr-f3g1-5mm2-gumikabellel-ip44-csatlakozodugo-vedoerintkezos-max-3680w-fekete-n-8-5-1-5-9807","https://www.somogyi.hu/product/home-n-8-5-1-5-halozati-csatlakozokabel-5-m-h05rr-f3g1-5mm2-gumikabellel-ip44-csatlakozodugo-vedoerintkezos-max-3680w-fekete-n-8-5-1-5-9807")</f>
        <v>0.0</v>
      </c>
      <c r="E2378" s="7" t="n">
        <f>HYPERLINK("https://www.somogyi.hu/data/img/product_main_images/small/09807.jpg","https://www.somogyi.hu/data/img/product_main_images/small/09807.jpg")</f>
        <v>0.0</v>
      </c>
      <c r="F2378" s="2" t="inlineStr">
        <is>
          <t>5998312785331</t>
        </is>
      </c>
      <c r="G2378" s="4" t="inlineStr">
        <is>
          <t>Vásároljon Ön is megbízható, masszív kivitelben kapható hálózati csatlakozókábelt! Az N 8-5/1,5
fekete színű 5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79">
      <c r="A2379" s="3" t="inlineStr">
        <is>
          <t>N 10-3/1,0</t>
        </is>
      </c>
      <c r="B2379" s="2" t="inlineStr">
        <is>
          <t>Home N 10-3/1,0 hálózati csatlakozókábel, 3 m, H05RN-F 2 x 1,0 mm2 gumikábel,  IP44 védettség, max.2300W, fekete</t>
        </is>
      </c>
      <c r="C2379" s="1" t="n">
        <v>1850.0</v>
      </c>
      <c r="D2379" s="7" t="n">
        <f>HYPERLINK("https://www.somogyi.hu/product/home-n-10-3-1-0-halozati-csatlakozokabel-3-m-h05rn-f-2-x-1-0-mm2-gumikabel-ip44-vedettseg-max-2300w-fekete-n-10-3-1-0-9810","https://www.somogyi.hu/product/home-n-10-3-1-0-halozati-csatlakozokabel-3-m-h05rn-f-2-x-1-0-mm2-gumikabel-ip44-vedettseg-max-2300w-fekete-n-10-3-1-0-9810")</f>
        <v>0.0</v>
      </c>
      <c r="E2379" s="7" t="n">
        <f>HYPERLINK("https://www.somogyi.hu/data/img/product_main_images/small/09810.jpg","https://www.somogyi.hu/data/img/product_main_images/small/09810.jpg")</f>
        <v>0.0</v>
      </c>
      <c r="F2379" s="2" t="inlineStr">
        <is>
          <t>5998312785362</t>
        </is>
      </c>
      <c r="G2379" s="4" t="inlineStr">
        <is>
          <t>Vásároljon Ön is megbízható, masszív kivitelben kapható hálózati csatlakozókábelt! Az N 10-3/1,0
fekete színű 3 méter hosszúságú gumikábel, amely 2 x 1,0 mm²-es kivitelben kapható. Felhasználhatósága: 250 V~ / 50 Hz / max. 10 A / max. 2300 W. Előnye, hogy a csatlakozódugó IP44-es védelemmel ellátott. Válassza a minőségi termékeket és rendeljen webáruházunkból.</t>
        </is>
      </c>
    </row>
    <row r="2380">
      <c r="A2380" s="3" t="inlineStr">
        <is>
          <t>N 1X</t>
        </is>
      </c>
      <c r="B2380" s="2" t="inlineStr">
        <is>
          <t>Hálózati csatlakozókábel, 2x0,75, 1,5m</t>
        </is>
      </c>
      <c r="C2380" s="1" t="n">
        <v>1150.0</v>
      </c>
      <c r="D2380" s="7" t="n">
        <f>HYPERLINK("https://www.somogyi.hu/product/halozati-csatlakozokabel-2x0-75-1-5m-n-1x-2173","https://www.somogyi.hu/product/halozati-csatlakozokabel-2x0-75-1-5m-n-1x-2173")</f>
        <v>0.0</v>
      </c>
      <c r="E2380" s="7" t="n">
        <f>HYPERLINK("https://www.somogyi.hu/data/img/product_main_images/small/02173.jpg","https://www.somogyi.hu/data/img/product_main_images/small/02173.jpg")</f>
        <v>0.0</v>
      </c>
      <c r="F2380" s="2" t="inlineStr">
        <is>
          <t>5998312724385</t>
        </is>
      </c>
      <c r="G2380" s="4" t="inlineStr">
        <is>
          <t xml:space="preserve"> • feszültség: 250 V~ 
 • terhelhetőség: 2,5 A / 500 W 
 • vezeték: 2 x 0,75 mm² 
 • kábelhossz: 1,5 m 
 • csatlakozók: euro / kétpólusú készülékcsatlakozó 
 • bliszterben: igen</t>
        </is>
      </c>
    </row>
    <row r="2381">
      <c r="A2381" s="3" t="inlineStr">
        <is>
          <t>N 5X</t>
        </is>
      </c>
      <c r="B2381" s="2" t="inlineStr">
        <is>
          <t>Számítógépes hálózati csatlakozókábel, 3x0,75, 2m</t>
        </is>
      </c>
      <c r="C2381" s="1" t="n">
        <v>2090.0</v>
      </c>
      <c r="D2381" s="7" t="n">
        <f>HYPERLINK("https://www.somogyi.hu/product/szamitogepes-halozati-csatlakozokabel-3x0-75-2m-n-5x-2175","https://www.somogyi.hu/product/szamitogepes-halozati-csatlakozokabel-3x0-75-2m-n-5x-2175")</f>
        <v>0.0</v>
      </c>
      <c r="E2381" s="7" t="n">
        <f>HYPERLINK("https://www.somogyi.hu/data/img/product_main_images/small/02175.jpg","https://www.somogyi.hu/data/img/product_main_images/small/02175.jpg")</f>
        <v>0.0</v>
      </c>
      <c r="F2381" s="2" t="inlineStr">
        <is>
          <t>5998312724408</t>
        </is>
      </c>
      <c r="G2381" s="4" t="inlineStr">
        <is>
          <t xml:space="preserve"> • feszültség: 250 V~ 
 • terhelhetőség: 10 A / 2300 W 
 • vezeték: 3 x 0,75 mm² 
 • kábelhossz: 2 m 
 • csatlakozók: GS / 3 pólusú készülékcsatlakozó 
 • védőérintkezős: igen 
 • bliszterben: igen</t>
        </is>
      </c>
    </row>
    <row r="2382">
      <c r="A2382" s="3" t="inlineStr">
        <is>
          <t>AC 2D</t>
        </is>
      </c>
      <c r="B2382" s="2" t="inlineStr">
        <is>
          <t>Home AC 2D, AC beépíthető dugó, 3 pólus, 10A, 2300W, csavarozható</t>
        </is>
      </c>
      <c r="C2382" s="1" t="n">
        <v>399.0</v>
      </c>
      <c r="D2382" s="7" t="n">
        <f>HYPERLINK("https://www.somogyi.hu/product/home-ac-2d-ac-beepitheto-dugo-3-polus-10a-2300w-csavarozhato-ac-2d-1707","https://www.somogyi.hu/product/home-ac-2d-ac-beepitheto-dugo-3-polus-10a-2300w-csavarozhato-ac-2d-1707")</f>
        <v>0.0</v>
      </c>
      <c r="E2382" s="7" t="n">
        <f>HYPERLINK("https://www.somogyi.hu/data/img/product_main_images/small/01707.jpg","https://www.somogyi.hu/data/img/product_main_images/small/01707.jpg")</f>
        <v>0.0</v>
      </c>
      <c r="F2382" s="2" t="inlineStr">
        <is>
          <t>5998312700754</t>
        </is>
      </c>
      <c r="G2382" s="4" t="inlineStr">
        <is>
          <t>Keresse bátran széles kínálatunkban az igényeinek megfelelő hálózati kábeleket és csatlakozókat!
3 pólusú (230 V~ / 10 A / 2300 W) AC beépíthető dugó. Az AC 2D típus forrasztható kivitelben kapható. Válassza a minőségi termékeket és rendeljen webáruházunkból.</t>
        </is>
      </c>
    </row>
    <row r="2383">
      <c r="A2383" s="6" t="inlineStr">
        <is>
          <t xml:space="preserve">   Villamosság / Távirányítható hálózati aljzat</t>
        </is>
      </c>
      <c r="B2383" s="6" t="inlineStr">
        <is>
          <t/>
        </is>
      </c>
      <c r="C2383" s="6" t="inlineStr">
        <is>
          <t/>
        </is>
      </c>
      <c r="D2383" s="6" t="inlineStr">
        <is>
          <t/>
        </is>
      </c>
      <c r="E2383" s="6" t="inlineStr">
        <is>
          <t/>
        </is>
      </c>
      <c r="F2383" s="6" t="inlineStr">
        <is>
          <t/>
        </is>
      </c>
      <c r="G2383" s="6" t="inlineStr">
        <is>
          <t/>
        </is>
      </c>
    </row>
    <row r="2384">
      <c r="A2384" s="3" t="inlineStr">
        <is>
          <t>TH 1000</t>
        </is>
      </c>
      <c r="B2384" s="2" t="inlineStr">
        <is>
          <t>Home TH 1000 távirányítható hálózati aljzat, 40 m hatótávolság, 1 db aljzat, max. 1000 W</t>
        </is>
      </c>
      <c r="C2384" s="1" t="n">
        <v>3290.0</v>
      </c>
      <c r="D2384" s="7" t="n">
        <f>HYPERLINK("https://www.somogyi.hu/product/home-th-1000-taviranyithato-halozati-aljzat-40-m-hatotavolsag-1-db-aljzat-max-1000-w-th-1000-16537","https://www.somogyi.hu/product/home-th-1000-taviranyithato-halozati-aljzat-40-m-hatotavolsag-1-db-aljzat-max-1000-w-th-1000-16537")</f>
        <v>0.0</v>
      </c>
      <c r="E2384" s="7" t="n">
        <f>HYPERLINK("https://www.somogyi.hu/data/img/product_main_images/small/16537.jpg","https://www.somogyi.hu/data/img/product_main_images/small/16537.jpg")</f>
        <v>0.0</v>
      </c>
      <c r="F2384" s="2" t="inlineStr">
        <is>
          <t>5999084945695</t>
        </is>
      </c>
      <c r="G2384" s="4" t="inlineStr">
        <is>
          <t>A TH 1000 Távirányítható hálózati aljzat hasznos lehet minden háztartásban, mivel a hozzá csatlakoztatott készüléket távirányítóval könnyedén tudja vezérelni. Egyszerűen tanítható a TH 1011 vagy a TH 1013 szettek távirányítójához. Ha applikációval szeretné vezérelni, akkor vásárolja meg oldalunkról az NVS 3 RF cikkszámú SMART aljzatot. Hatótávolsága nyílt terepen 40 m. 
A távirányítható hálózati aljzat maximum 1000 W-ig terhelhető. 
A távirányító nem tartozéka a csomagnak.</t>
        </is>
      </c>
    </row>
    <row r="2385">
      <c r="A2385" s="3" t="inlineStr">
        <is>
          <t>TH 3000</t>
        </is>
      </c>
      <c r="B2385" s="2" t="inlineStr">
        <is>
          <t>Home TH 3000 távirányítható hálózati aljzat, 40 m hatótáv, max. 3000 W, TH 1011 és TH 1013 szetthez tanítható, rádiós összeköttetés, 230 V, fehér</t>
        </is>
      </c>
      <c r="C2385" s="1" t="n">
        <v>3790.0</v>
      </c>
      <c r="D2385" s="7" t="n">
        <f>HYPERLINK("https://www.somogyi.hu/product/home-th-3000-taviranyithato-halozati-aljzat-40-m-hatotav-max-3000-w-th-1011-es-th-1013-szetthez-tanithato-radios-osszekottetes-230-v-feher-th-3000-16540","https://www.somogyi.hu/product/home-th-3000-taviranyithato-halozati-aljzat-40-m-hatotav-max-3000-w-th-1011-es-th-1013-szetthez-tanithato-radios-osszekottetes-230-v-feher-th-3000-16540")</f>
        <v>0.0</v>
      </c>
      <c r="E2385" s="7" t="n">
        <f>HYPERLINK("https://www.somogyi.hu/data/img/product_main_images/small/16540.jpg","https://www.somogyi.hu/data/img/product_main_images/small/16540.jpg")</f>
        <v>0.0</v>
      </c>
      <c r="F2385" s="2" t="inlineStr">
        <is>
          <t>5999084945725</t>
        </is>
      </c>
      <c r="G2385" s="4" t="inlineStr">
        <is>
          <t>A TH 3000 Távirányítható hálózati aljzat hasznos lehet minden háztartásban, mivel a hozzá csatlakoztatott készüléket távirányítóval könnyedén tudja vezérelni. Egyszerűen tanítható a TH 3011 vagy a TH 3013 szettek távirányítójához. Ha applikációval szeretné vezérelni, akkor vásárolja meg oldalunkról az NVS 3 RF cikkszámú SMART aljzatot. Hatótávolsága nyílt terepen 40 m. 
A távirányítható hálózati aljzat maximum 3000 W-ig terhelhető. 
A távirányító nem tartozéka a csomagnak.</t>
        </is>
      </c>
    </row>
    <row r="2386">
      <c r="A2386" s="3" t="inlineStr">
        <is>
          <t>NV 4 WIFI</t>
        </is>
      </c>
      <c r="B2386" s="2" t="inlineStr">
        <is>
          <t>Home NV 4 WIFI smart elosztó, 1,5 m, H05VV-F 3G1,5 mm2 kábel, 4 földelt aljzat, 4 USB aljzat, max.3680W, Tuya alkalmazás kompatibilis, WiFi-s</t>
        </is>
      </c>
      <c r="C2386" s="1" t="n">
        <v>15990.0</v>
      </c>
      <c r="D2386" s="7" t="n">
        <f>HYPERLINK("https://www.somogyi.hu/product/home-nv-4-wifi-smart-eloszto-1-5-m-h05vv-f-3g1-5-mm2-kabel-4-foldelt-aljzat-4-usb-aljzat-max-3680w-tuya-alkalmazas-kompatibilis-wifi-s-nv-4-wifi-17610","https://www.somogyi.hu/product/home-nv-4-wifi-smart-eloszto-1-5-m-h05vv-f-3g1-5-mm2-kabel-4-foldelt-aljzat-4-usb-aljzat-max-3680w-tuya-alkalmazas-kompatibilis-wifi-s-nv-4-wifi-17610")</f>
        <v>0.0</v>
      </c>
      <c r="E2386" s="7" t="n">
        <f>HYPERLINK("https://www.somogyi.hu/data/img/product_main_images/small/17610.jpg","https://www.somogyi.hu/data/img/product_main_images/small/17610.jpg")</f>
        <v>0.0</v>
      </c>
      <c r="F2386" s="2" t="inlineStr">
        <is>
          <t>5999084956325</t>
        </is>
      </c>
      <c r="G2386" s="4" t="inlineStr">
        <is>
          <t>NV 4 WIFI smart elosztó 4 db földelt aljzatot és 4 db USB töltőaljzatot foglal magában. A 4 db földelt aljzat külön-külön is vezérelhető TUYA alkalmazáson keresztül. Be vagy kikapcsolás, időzítés és visszaszámlálás mind-mind távolról is elvégezhető. A fehér színű csatlakozókábel hossza 1,5 méter.</t>
        </is>
      </c>
    </row>
    <row r="2387">
      <c r="A2387" s="3" t="inlineStr">
        <is>
          <t>NVS 3 RF</t>
        </is>
      </c>
      <c r="B2387" s="2" t="inlineStr">
        <is>
          <t>Home NVS 3 RF SMART aljzat RF master funkcióval, 433,92 MHz-es távirányítható aljzatok vezérlése távolról, Wi-Fi 2,4 GHz 802.11 b/g/n</t>
        </is>
      </c>
      <c r="C2387" s="1" t="n">
        <v>8390.0</v>
      </c>
      <c r="D2387" s="7" t="n">
        <f>HYPERLINK("https://www.somogyi.hu/product/home-nvs-3-rf-smart-aljzat-rf-master-funkcioval-433-92-mhz-es-taviranyithato-aljzatok-vezerlese-tavolrol-wi-fi-2-4-ghz-802-11-b-g-n-nvs-3-rf-17942","https://www.somogyi.hu/product/home-nvs-3-rf-smart-aljzat-rf-master-funkcioval-433-92-mhz-es-taviranyithato-aljzatok-vezerlese-tavolrol-wi-fi-2-4-ghz-802-11-b-g-n-nvs-3-rf-17942")</f>
        <v>0.0</v>
      </c>
      <c r="E2387" s="7" t="n">
        <f>HYPERLINK("https://www.somogyi.hu/data/img/product_main_images/small/17942.jpg","https://www.somogyi.hu/data/img/product_main_images/small/17942.jpg")</f>
        <v>0.0</v>
      </c>
      <c r="F2387" s="2" t="inlineStr">
        <is>
          <t>5999084959647</t>
        </is>
      </c>
      <c r="G2387" s="4" t="inlineStr">
        <is>
          <t>Az NV 3 RF SMART aljzat praktikus megoldás lehet minden lakásba, mivel a hozzá csatlakoztatott készülékeket távolról el tudja érni. 
Okostelefonos alkalmazással távolról is ki- be kapcsolhatjuk az otthoni Wi-Fi környezetben az aljzatba csatlakoztatott készüléket. (IOS 7.0 és Android 4.0 felett). Az aljzat a telefonos applikációval képes a termékcsaládba tartozó hagyományos 433,92 MHz-es távirányítható aljzatok vezérlésére! (THO, TH 1000, TH 3000 termékcsaládok). Csak töltse le a KT Smart Wifi applikációt és párosítsa egyszerűen az aljzatot. 
További hasznos tulajdonsága még, hogy időzítővel és visszaszámláló funkcióval is ellátott. 
Használja akár elektromos fűtő vagy hűtőtestekhez és amire hazaér, már kellemes hőmérséklet lesz a lakásban.</t>
        </is>
      </c>
    </row>
    <row r="2388">
      <c r="A2388" s="3" t="inlineStr">
        <is>
          <t>NVS 32 PRO</t>
        </is>
      </c>
      <c r="B2388" s="2" t="inlineStr">
        <is>
          <t>Home NVS 32 PRO SMART elosztó, SMART LIFE alkalmazással távolról vezérelhető, 2 db földelt aljzat gyermekvédelemmel, Wi-Fi 2,4 GHz 802.11 b/g/n</t>
        </is>
      </c>
      <c r="C2388" s="1" t="n">
        <v>7690.0</v>
      </c>
      <c r="D2388" s="7" t="n">
        <f>HYPERLINK("https://www.somogyi.hu/product/home-nvs-32-pro-smart-eloszto-smart-life-alkalmazassal-tavolrol-vezerelheto-2-db-foldelt-aljzat-gyermekvedelemmel-wi-fi-2-4-ghz-802-11-b-g-n-nvs-32-pro-17933","https://www.somogyi.hu/product/home-nvs-32-pro-smart-eloszto-smart-life-alkalmazassal-tavolrol-vezerelheto-2-db-foldelt-aljzat-gyermekvedelemmel-wi-fi-2-4-ghz-802-11-b-g-n-nvs-32-pro-17933")</f>
        <v>0.0</v>
      </c>
      <c r="E2388" s="7" t="n">
        <f>HYPERLINK("https://www.somogyi.hu/data/img/product_main_images/small/17933.jpg","https://www.somogyi.hu/data/img/product_main_images/small/17933.jpg")</f>
        <v>0.0</v>
      </c>
      <c r="F2388" s="2" t="inlineStr">
        <is>
          <t>5999084959555</t>
        </is>
      </c>
      <c r="G2388" s="4" t="inlineStr">
        <is>
          <t>Egy modern, új technológiájú okos elosztót keres? A Home NVS 32 PRO épp ezt a lehetőséget kínálja Önnek, modern és felhasználóbarát megoldásokkal!
Ez a készülék lehetővé teszi, hogy a földelt aljzatokat külön-külön vezérelje a SMART LIFE alkalmazáson keresztül. Ez azt jelenti, hogy az aljzatok be- és kikapcsolása, időzítése, visszaszámlálása és az energiafogyasztás nyomon követése mind a kezében van, mindössze néhány kattintással. 
A Home NVS 32 PRO két földelt aljzattal rendelkezik, mindkettő gyermekvédelemmel ellátva, így biztonságosan használhatja otthonában (230 V~ 50 Hz).
A készülék Wi-Fi kapcsolata 2,4 GHz-es 1T1R technológiával biztosítja a stabil és megbízható csatlakozást. Ezáltal akkor is irányíthatja az eszközt, ha éppen nem tartózkodik otthonában.
A Home NVS 32 PRO tökéletes választás azok számára, akik szeretnének belekóstolni az okos otthonok világába, anélkül, hogy bonyolult telepítési folyamatokon kellene átmenniük. Egyszerűen csatlakoztassa, konfigurálja az alkalmazást, és élvezze azonnali, intelligens otthoni vezérlés előnyeit. 
Változtassa meg otthona működését a Home NVS 32 PRO-val – intelligens, egyszerű és biztonságos megoldás mindenki számára!</t>
        </is>
      </c>
    </row>
    <row r="2389">
      <c r="A2389" s="3" t="inlineStr">
        <is>
          <t>THO 113</t>
        </is>
      </c>
      <c r="B2389" s="2" t="inlineStr">
        <is>
          <t>Home THO 113 3db-os távirányítható kültéri hálózati aljzatszett, 40 m hatótáv, IP44 védelem, max. 1000 W, rádiós összeköttetés, 230 V, fekete</t>
        </is>
      </c>
      <c r="C2389" s="1" t="n">
        <v>12190.0</v>
      </c>
      <c r="D2389" s="7" t="n">
        <f>HYPERLINK("https://www.somogyi.hu/product/home-tho-113-3db-os-taviranyithato-kulteri-halozati-aljzatszett-40-m-hatotav-ip44-vedelem-max-1000-w-radios-osszekottetes-230-v-fekete-tho-113-16225","https://www.somogyi.hu/product/home-tho-113-3db-os-taviranyithato-kulteri-halozati-aljzatszett-40-m-hatotav-ip44-vedelem-max-1000-w-radios-osszekottetes-230-v-fekete-tho-113-16225")</f>
        <v>0.0</v>
      </c>
      <c r="E2389" s="7" t="n">
        <f>HYPERLINK("https://www.somogyi.hu/data/img/product_main_images/small/16225.jpg","https://www.somogyi.hu/data/img/product_main_images/small/16225.jpg")</f>
        <v>0.0</v>
      </c>
      <c r="F2389" s="2" t="inlineStr">
        <is>
          <t>5999084942571</t>
        </is>
      </c>
      <c r="G2389" s="4" t="inlineStr">
        <is>
          <t>A THO 113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3 db kültéri aljzatot, 1 db távirányítót és a hozzá tartozó A CR2032 (3V) elemet.</t>
        </is>
      </c>
    </row>
    <row r="2390">
      <c r="A2390" s="3" t="inlineStr">
        <is>
          <t>TH 1011</t>
        </is>
      </c>
      <c r="B2390" s="2" t="inlineStr">
        <is>
          <t>Home TH 1011 távirányítható hálózati aljzatszett, 40 m hatótávolság, 1 db aljzat, 1 db távirányító</t>
        </is>
      </c>
      <c r="C2390" s="1" t="n">
        <v>4890.0</v>
      </c>
      <c r="D2390" s="7" t="n">
        <f>HYPERLINK("https://www.somogyi.hu/product/home-th-1011-taviranyithato-halozati-aljzatszett-40-m-hatotavolsag-1-db-aljzat-1-db-taviranyito-th-1011-16538","https://www.somogyi.hu/product/home-th-1011-taviranyithato-halozati-aljzatszett-40-m-hatotavolsag-1-db-aljzat-1-db-taviranyito-th-1011-16538")</f>
        <v>0.0</v>
      </c>
      <c r="E2390" s="7" t="n">
        <f>HYPERLINK("https://www.somogyi.hu/data/img/product_main_images/small/16538.jpg","https://www.somogyi.hu/data/img/product_main_images/small/16538.jpg")</f>
        <v>0.0</v>
      </c>
      <c r="F2390" s="2" t="inlineStr">
        <is>
          <t>5999084945701</t>
        </is>
      </c>
      <c r="G2390" s="4" t="inlineStr">
        <is>
          <t>A TH 1011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A MASTER ON/OFF gombok minden aljzat egyidejű vezérlését biztosítja. A szett TH 1000 aljzatokkal tovább bővíthető.
Ha applikációval szeretné vezérelni, akkor vásárolja meg oldalunkról az NVS 3 RF cikkszámú SMART aljzatot.
A csomag tartalmaz 1 db aljzatot, 1 db távirányítót és a hozzá tartozó CR2032 (3V) elemet.</t>
        </is>
      </c>
    </row>
    <row r="2391">
      <c r="A2391" s="3" t="inlineStr">
        <is>
          <t>NVKP 01</t>
        </is>
      </c>
      <c r="B2391" s="2" t="inlineStr">
        <is>
          <t>Home NVKP 01 elem nélküli távkapcsoló, csengők és hálózati kapcsolók bővítéséhez, 120 m hatótáv, víznek fokozottan ellenálló, kinetikus energia</t>
        </is>
      </c>
      <c r="C2391" s="1" t="n">
        <v>3390.0</v>
      </c>
      <c r="D2391" s="7" t="n">
        <f>HYPERLINK("https://www.somogyi.hu/product/home-nvkp-01-elem-nelkuli-tavkapcsolo-csengok-es-halozati-kapcsolok-bovitesehez-120-m-hatotav-viznek-fokozottan-ellenallo-kinetikus-energia-nvkp-01-18050","https://www.somogyi.hu/product/home-nvkp-01-elem-nelkuli-tavkapcsolo-csengok-es-halozati-kapcsolok-bovitesehez-120-m-hatotav-viznek-fokozottan-ellenallo-kinetikus-energia-nvkp-01-18050")</f>
        <v>0.0</v>
      </c>
      <c r="E2391" s="7" t="n">
        <f>HYPERLINK("https://www.somogyi.hu/data/img/product_main_images/small/18050.jpg","https://www.somogyi.hu/data/img/product_main_images/small/18050.jpg")</f>
        <v>0.0</v>
      </c>
      <c r="F2391" s="2" t="inlineStr">
        <is>
          <t>5999084960728</t>
        </is>
      </c>
      <c r="G2391" s="4" t="inlineStr">
        <is>
          <t xml:space="preserve"> • hatótávolság nyílt terepen: ~120 m 
 • működési frekvencia: 433,92 MHz 
 • funkciók: régi távkapcsolók pótlására • rendszerek bővítéséhez 
 • kompatibilitás: DBK 1200AC, DBKS 1200AC, NVK SWITCH, NVK 3 SWITCH 
 • egyéb információ: több vevőegység is párosítható hozzá • több távirányító párosítható egy vevőhöz (8) 
 • víz elleni védettség: víznek fokozottan ellenálló 
 • tulajdonság: soha nem szükséges elem • hidegben is megbízható működés 
 • méret: 50 x 82 x 22 mm</t>
        </is>
      </c>
    </row>
    <row r="2392">
      <c r="A2392" s="3" t="inlineStr">
        <is>
          <t>TH 3011</t>
        </is>
      </c>
      <c r="B2392" s="2" t="inlineStr">
        <is>
          <t>Home TH 3011 távirányítható hálózati aljzatszett, 40 m hatótáv, max. 3000 W, rádiós összeköttetés, 230 V, fehér</t>
        </is>
      </c>
      <c r="C2392" s="1" t="n">
        <v>6090.0</v>
      </c>
      <c r="D2392" s="7" t="n">
        <f>HYPERLINK("https://www.somogyi.hu/product/home-th-3011-taviranyithato-halozati-aljzatszett-40-m-hatotav-max-3000-w-radios-osszekottetes-230-v-feher-th-3011-16541","https://www.somogyi.hu/product/home-th-3011-taviranyithato-halozati-aljzatszett-40-m-hatotav-max-3000-w-radios-osszekottetes-230-v-feher-th-3011-16541")</f>
        <v>0.0</v>
      </c>
      <c r="E2392" s="7" t="n">
        <f>HYPERLINK("https://www.somogyi.hu/data/img/product_main_images/small/16541.jpg","https://www.somogyi.hu/data/img/product_main_images/small/16541.jpg")</f>
        <v>0.0</v>
      </c>
      <c r="F2392" s="2" t="inlineStr">
        <is>
          <t>5999084945732</t>
        </is>
      </c>
      <c r="G2392" s="4" t="inlineStr">
        <is>
          <t>A TH 3011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A szett TH 3000 aljzatokkal tovább bővíthető.
Ha applikációval szeretné vezérelni, akkor vásárolja meg oldalunkról az NVS 3 RF cikkszámú SMART aljzatot.
A csomag tartalmaz 1 db aljzatot, 1 db távirányítót és a hozzá tartozó CR2032 (3V) elemet.</t>
        </is>
      </c>
    </row>
    <row r="2393">
      <c r="A2393" s="3" t="inlineStr">
        <is>
          <t>TH 3013</t>
        </is>
      </c>
      <c r="B2393" s="2" t="inlineStr">
        <is>
          <t>Home TH 3013 távirányítható hálózati aljzatszett, 40 m hatótáv, max. 3000 W, rádiós összeköttetés, 230 V, egyszerűen tanítható, fehér</t>
        </is>
      </c>
      <c r="C2393" s="1" t="n">
        <v>11890.0</v>
      </c>
      <c r="D2393" s="7" t="n">
        <f>HYPERLINK("https://www.somogyi.hu/product/home-th-3013-taviranyithato-halozati-aljzatszett-40-m-hatotav-max-3000-w-radios-osszekottetes-230-v-egyszeruen-tanithato-feher-th-3013-16542","https://www.somogyi.hu/product/home-th-3013-taviranyithato-halozati-aljzatszett-40-m-hatotav-max-3000-w-radios-osszekottetes-230-v-egyszeruen-tanithato-feher-th-3013-16542")</f>
        <v>0.0</v>
      </c>
      <c r="E2393" s="7" t="n">
        <f>HYPERLINK("https://www.somogyi.hu/data/img/product_main_images/small/16542.jpg","https://www.somogyi.hu/data/img/product_main_images/small/16542.jpg")</f>
        <v>0.0</v>
      </c>
      <c r="F2393" s="2" t="inlineStr">
        <is>
          <t>5999084945749</t>
        </is>
      </c>
      <c r="G2393" s="4" t="inlineStr">
        <is>
          <t>A TH 3013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Ha applikációval szeretné vezérelni, akkor vásárolja meg oldalunkról az NVS 3 RF cikkszámú SMART aljzatot.
A csomag tartalmaz 3 db aljzatot, 1 db távirányítót és a hozzá tartozó CR2032 (3V) elemet.</t>
        </is>
      </c>
    </row>
    <row r="2394">
      <c r="A2394" s="3" t="inlineStr">
        <is>
          <t>TH 1013</t>
        </is>
      </c>
      <c r="B2394" s="2" t="inlineStr">
        <is>
          <t>Home TH 1013 távirányítható hálózati aljzat szett, 40 m hatótávolság, 3 db aljzat, 1 db távirányító</t>
        </is>
      </c>
      <c r="C2394" s="1" t="n">
        <v>10990.0</v>
      </c>
      <c r="D2394" s="7" t="n">
        <f>HYPERLINK("https://www.somogyi.hu/product/home-th-1013-taviranyithato-halozati-aljzat-szett-40-m-hatotavolsag-3-db-aljzat-1-db-taviranyito-th-1013-16539","https://www.somogyi.hu/product/home-th-1013-taviranyithato-halozati-aljzat-szett-40-m-hatotavolsag-3-db-aljzat-1-db-taviranyito-th-1013-16539")</f>
        <v>0.0</v>
      </c>
      <c r="E2394" s="7" t="n">
        <f>HYPERLINK("https://www.somogyi.hu/data/img/product_main_images/small/16539.jpg","https://www.somogyi.hu/data/img/product_main_images/small/16539.jpg")</f>
        <v>0.0</v>
      </c>
      <c r="F2394" s="2" t="inlineStr">
        <is>
          <t>5999084945718</t>
        </is>
      </c>
      <c r="G2394" s="4" t="inlineStr">
        <is>
          <t>A TH 1013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 A MASTER ON/OFF gombok minden aljzat egyidejű vezérlését biztosítja. 
Ha applikációval szeretné vezérelni, akkor vásárolja meg oldalunkról az NVS 3 RF cikkszámú SMART aljzatot.
A csomag tartalmaz 3 db aljzatot, 1 db távirányítót és a hozzá tartozó CR2032 (3V) elemet.</t>
        </is>
      </c>
    </row>
    <row r="2395">
      <c r="A2395" s="3" t="inlineStr">
        <is>
          <t>THO 111</t>
        </is>
      </c>
      <c r="B2395" s="2" t="inlineStr">
        <is>
          <t>Home THO 111 távirányítható kültéri hálózati aljzatszett, 40 m hatótáv, IP44 védelem, max. 1000 W, rádiós összeköttetés, 230 V, fekete</t>
        </is>
      </c>
      <c r="C2395" s="1" t="n">
        <v>5790.0</v>
      </c>
      <c r="D2395" s="7" t="n">
        <f>HYPERLINK("https://www.somogyi.hu/product/home-tho-111-taviranyithato-kulteri-halozati-aljzatszett-40-m-hatotav-ip44-vedelem-max-1000-w-radios-osszekottetes-230-v-fekete-tho-111-16224","https://www.somogyi.hu/product/home-tho-111-taviranyithato-kulteri-halozati-aljzatszett-40-m-hatotav-ip44-vedelem-max-1000-w-radios-osszekottetes-230-v-fekete-tho-111-16224")</f>
        <v>0.0</v>
      </c>
      <c r="E2395" s="7" t="n">
        <f>HYPERLINK("https://www.somogyi.hu/data/img/product_main_images/small/16224.jpg","https://www.somogyi.hu/data/img/product_main_images/small/16224.jpg")</f>
        <v>0.0</v>
      </c>
      <c r="F2395" s="2" t="inlineStr">
        <is>
          <t>5999084942564</t>
        </is>
      </c>
      <c r="G2395" s="4" t="inlineStr">
        <is>
          <t>A THO 111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1 db kültéri aljzatot, 1 db távirányítót és a hozzá tartozó A CR2032 (3V) elemet.</t>
        </is>
      </c>
    </row>
    <row r="2396">
      <c r="A2396" s="3" t="inlineStr">
        <is>
          <t>THO 1</t>
        </is>
      </c>
      <c r="B2396" s="2" t="inlineStr">
        <is>
          <t>Home THO 1 távirányítható kültéri hálózati aljzat, 40 m hatótáv, IP44 védelem, max. 1000 W, THO 111 és THO 113 szetthez tanítható, rádiós összeköttetés, 230 V, fekete</t>
        </is>
      </c>
      <c r="C2396" s="1" t="n">
        <v>2590.0</v>
      </c>
      <c r="D2396" s="7" t="n">
        <f>HYPERLINK("https://www.somogyi.hu/product/home-tho-1-taviranyithato-kulteri-halozati-aljzat-40-m-hatotav-ip44-vedelem-max-1000-w-tho-111-es-tho-113-szetthez-tanithato-radios-osszekottetes-230-v-fekete-tho-1-16223","https://www.somogyi.hu/product/home-tho-1-taviranyithato-kulteri-halozati-aljzat-40-m-hatotav-ip44-vedelem-max-1000-w-tho-111-es-tho-113-szetthez-tanithato-radios-osszekottetes-230-v-fekete-tho-1-16223")</f>
        <v>0.0</v>
      </c>
      <c r="E2396" s="7" t="n">
        <f>HYPERLINK("https://www.somogyi.hu/data/img/product_main_images/small/16223.jpg","https://www.somogyi.hu/data/img/product_main_images/small/16223.jpg")</f>
        <v>0.0</v>
      </c>
      <c r="F2396" s="2" t="inlineStr">
        <is>
          <t>5999084942557</t>
        </is>
      </c>
      <c r="G2396" s="4" t="inlineStr">
        <is>
          <t>A THO 1 Távirányítható kültéri hálózati aljzat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a THO 111 vagy a THO 113 szettek távirányítójához. Ha applikációval szeretné vezérelni, akkor vásárolja meg oldalunkról az NVS 3 RF cikkszámú SMART aljzatot.
A készülék alkalmas az Európai Unió tagállamaiban való használatra. 
A távirányító nem tartozéka a csomagnak.</t>
        </is>
      </c>
    </row>
    <row r="2397">
      <c r="A2397" s="6" t="inlineStr">
        <is>
          <t xml:space="preserve">   Villamosság / Francia csatlakozós hálózati hosszabbító, elosztó, aljzat</t>
        </is>
      </c>
      <c r="B2397" s="6" t="inlineStr">
        <is>
          <t/>
        </is>
      </c>
      <c r="C2397" s="6" t="inlineStr">
        <is>
          <t/>
        </is>
      </c>
      <c r="D2397" s="6" t="inlineStr">
        <is>
          <t/>
        </is>
      </c>
      <c r="E2397" s="6" t="inlineStr">
        <is>
          <t/>
        </is>
      </c>
      <c r="F2397" s="6" t="inlineStr">
        <is>
          <t/>
        </is>
      </c>
      <c r="G2397" s="6" t="inlineStr">
        <is>
          <t/>
        </is>
      </c>
    </row>
    <row r="2398">
      <c r="A2398" s="3" t="inlineStr">
        <is>
          <t>NVF 3-3/WH/1,5</t>
        </is>
      </c>
      <c r="B2398" s="2" t="inlineStr">
        <is>
          <t>Magyarországon nem használható, vagy egyszer már létező cikkszám</t>
        </is>
      </c>
      <c r="C2398" s="1" t="n">
        <v>2590.0</v>
      </c>
      <c r="D2398" s="7" t="n">
        <f>HYPERLINK("https://www.somogyi.hu/product/magyarorszagon-nem-hasznalhato-vagy-egyszer-mar-letezo-cikkszam-nvf-3-3-wh-1-5-17148","https://www.somogyi.hu/product/magyarorszagon-nem-hasznalhato-vagy-egyszer-mar-letezo-cikkszam-nvf-3-3-wh-1-5-17148")</f>
        <v>0.0</v>
      </c>
      <c r="E2398" s="7" t="n">
        <f>HYPERLINK("https://www.somogyi.hu/data/img/product_main_images/small/17148.jpg","https://www.somogyi.hu/data/img/product_main_images/small/17148.jpg")</f>
        <v>0.0</v>
      </c>
      <c r="F2398" s="2" t="inlineStr">
        <is>
          <t>5999084951801</t>
        </is>
      </c>
      <c r="G2398" s="4" t="inlineStr">
        <is>
          <t xml:space="preserve"> • 3 db gyermekvédelemmel ellátott aljzat 
 • 1 NPE 230 V∼ / 50 Hz 
 • 250 V∼ / max. 16 A 
 • 3 x 1,5 mm2 
 • 3 méter 
 • fehér</t>
        </is>
      </c>
    </row>
    <row r="2399">
      <c r="A2399" s="3" t="inlineStr">
        <is>
          <t>NVF 3-5/WH/1,5</t>
        </is>
      </c>
      <c r="B2399" s="2" t="inlineStr">
        <is>
          <t>Magyarországon nem használható, vagy egyszer már létező cikkszám</t>
        </is>
      </c>
      <c r="C2399" s="1" t="n">
        <v>3590.0</v>
      </c>
      <c r="D2399" s="7" t="n">
        <f>HYPERLINK("https://www.somogyi.hu/product/magyarorszagon-nem-hasznalhato-vagy-egyszer-mar-letezo-cikkszam-nvf-3-5-wh-1-5-17149","https://www.somogyi.hu/product/magyarorszagon-nem-hasznalhato-vagy-egyszer-mar-letezo-cikkszam-nvf-3-5-wh-1-5-17149")</f>
        <v>0.0</v>
      </c>
      <c r="E2399" s="7" t="n">
        <f>HYPERLINK("https://www.somogyi.hu/data/img/product_main_images/small/17149.jpg","https://www.somogyi.hu/data/img/product_main_images/small/17149.jpg")</f>
        <v>0.0</v>
      </c>
      <c r="F2399" s="2" t="inlineStr">
        <is>
          <t>5999084951818</t>
        </is>
      </c>
      <c r="G2399" s="4" t="inlineStr">
        <is>
          <t xml:space="preserve"> • 3 db gyermekvédelemmel ellátott aljzat 
 • 1 NPE 230 V∼ / 50 Hz 
 • 250 V∼ / max. 16 A 
 • 3 x 1,5 mm2 
 • 5 méter 
 • fehér</t>
        </is>
      </c>
    </row>
    <row r="2400">
      <c r="A2400" s="6" t="inlineStr">
        <is>
          <t xml:space="preserve">   Villamosság / Kapcsolóóra</t>
        </is>
      </c>
      <c r="B2400" s="6" t="inlineStr">
        <is>
          <t/>
        </is>
      </c>
      <c r="C2400" s="6" t="inlineStr">
        <is>
          <t/>
        </is>
      </c>
      <c r="D2400" s="6" t="inlineStr">
        <is>
          <t/>
        </is>
      </c>
      <c r="E2400" s="6" t="inlineStr">
        <is>
          <t/>
        </is>
      </c>
      <c r="F2400" s="6" t="inlineStr">
        <is>
          <t/>
        </is>
      </c>
      <c r="G2400" s="6" t="inlineStr">
        <is>
          <t/>
        </is>
      </c>
    </row>
    <row r="2401">
      <c r="A2401" s="3" t="inlineStr">
        <is>
          <t>0768H</t>
        </is>
      </c>
      <c r="B2401" s="2" t="inlineStr">
        <is>
          <t>Mechanikus kültéri időzítő óra, 24 h / 30 min</t>
        </is>
      </c>
      <c r="C2401" s="1" t="n">
        <v>2390.0</v>
      </c>
      <c r="D2401" s="7" t="n">
        <f>HYPERLINK("https://www.somogyi.hu/product/mechanikus-kulteri-idozito-ora-24-h-30-min-0768h-14618","https://www.somogyi.hu/product/mechanikus-kulteri-idozito-ora-24-h-30-min-0768h-14618")</f>
        <v>0.0</v>
      </c>
      <c r="E2401" s="7" t="n">
        <f>HYPERLINK("https://www.somogyi.hu/data/img/product_main_images/small/14618.jpg","https://www.somogyi.hu/data/img/product_main_images/small/14618.jpg")</f>
        <v>0.0</v>
      </c>
      <c r="F2401" s="2" t="inlineStr">
        <is>
          <t>4004282407683</t>
        </is>
      </c>
      <c r="G2401" s="4" t="inlineStr">
        <is>
          <t>Egy praktikus kialakítású kültéri kapcsolóórát szeretne vásárolni? Ez esetben a 0768H típus ideális választás az Ön számára! 
A termék 30 perces időintervallumokban állítható be, valamint naponta ismétlődő kapcsolásokra alkalmas. A kapcsolóóra IP44-es kivitelben készült, ennek köszönhetően kültéren is használhatós, hiszen ellenáll a minden oldalról érkező fröccsenő víznek. Felhasználhatósága: 250 V~ / 16 A / 3500 W. Válassz a minőségi termékeket és rendeljen webáruházunkból!</t>
        </is>
      </c>
    </row>
    <row r="2402">
      <c r="A2402" s="3" t="inlineStr">
        <is>
          <t>0760S</t>
        </is>
      </c>
      <c r="B2402" s="2" t="inlineStr">
        <is>
          <t>Home 0760S mechanikus beltéri időzítő óra, manuális bekapcsolási lehetőség, 30 perces intervallumok, naponta ismétlődő kapcsolások, 250 V, 3680 W</t>
        </is>
      </c>
      <c r="C2402" s="1" t="n">
        <v>1890.0</v>
      </c>
      <c r="D2402" s="7" t="n">
        <f>HYPERLINK("https://www.somogyi.hu/product/home-0760s-mechanikus-belteri-idozito-ora-manualis-bekapcsolasi-lehetoseg-30-perces-intervallumok-naponta-ismetlodo-kapcsolasok-250-v-3680-w-0760s-14172","https://www.somogyi.hu/product/home-0760s-mechanikus-belteri-idozito-ora-manualis-bekapcsolasi-lehetoseg-30-perces-intervallumok-naponta-ismetlodo-kapcsolasok-250-v-3680-w-0760s-14172")</f>
        <v>0.0</v>
      </c>
      <c r="E2402" s="7" t="n">
        <f>HYPERLINK("https://www.somogyi.hu/data/img/product_main_images/small/14172.jpg","https://www.somogyi.hu/data/img/product_main_images/small/14172.jpg")</f>
        <v>0.0</v>
      </c>
      <c r="F2402" s="2" t="inlineStr">
        <is>
          <t>5999084922207</t>
        </is>
      </c>
      <c r="G2402" s="4" t="inlineStr">
        <is>
          <t>Tegye komfortossá lakását és szerezzen be otthonra egy időzítő órát!  A 0760S típusú mechanikus időzítő óra segítségével könnyedén koordinálhatja, hogy mikor kapcsoljon be- és ki pl. az otthoni elektromos kandalló, légkondicionáló vagy egyéb más a mindnnapjainkhoz szükséges berendezés.
A termék manuális bekapcsolásra, valamint naponta ismétlődő kapcsolásokra nyújt lehetőséget, továbbá segítségével 30 perces időintervallumokat állíthatunk be.
Az időzítő óra nem csak komfortossá teszi mindenapjainkat, hanem nagyszerű módot jelent arra, hogy energiatakarékosan gazdálkodjunk az elektromos fogyasztással. Válassza a minőségi termékeket és rendeljen webáruházunkból!</t>
        </is>
      </c>
    </row>
    <row r="2403">
      <c r="A2403" s="3" t="inlineStr">
        <is>
          <t>TG 3</t>
        </is>
      </c>
      <c r="B2403" s="2" t="inlineStr">
        <is>
          <t>Home TG 3 mechanikus beltéri időzítő óra, 24 órára programozható, naponta ismétlődő kapcsolások, 250 V, 3680 W</t>
        </is>
      </c>
      <c r="C2403" s="1" t="n">
        <v>2590.0</v>
      </c>
      <c r="D2403" s="7" t="n">
        <f>HYPERLINK("https://www.somogyi.hu/product/home-tg-3-mechanikus-belteri-idozito-ora-24-orara-programozhato-naponta-ismetlodo-kapcsolasok-250-v-3680-w-tg-3-3268","https://www.somogyi.hu/product/home-tg-3-mechanikus-belteri-idozito-ora-24-orara-programozhato-naponta-ismetlodo-kapcsolasok-250-v-3680-w-tg-3-3268")</f>
        <v>0.0</v>
      </c>
      <c r="E2403" s="7" t="n">
        <f>HYPERLINK("https://www.somogyi.hu/data/img/product_main_images/small/03268.jpg","https://www.somogyi.hu/data/img/product_main_images/small/03268.jpg")</f>
        <v>0.0</v>
      </c>
      <c r="F2403" s="2" t="inlineStr">
        <is>
          <t>5998312735923</t>
        </is>
      </c>
      <c r="G2403" s="4" t="inlineStr">
        <is>
          <t>Tegye komfortosabbá a mindennapjait és vásároljon egy precíz kialakítású kapcsolóórát. A TG 3 manuálisan bekapcsolható kapcsolóóra, amelyet 15 perces időintervallumokban lehet beállítani. A készülék 24 órára programozható be, valamint naponta ismétlődő kapcsolásokra alkalmas. Előnye, továbbá, hogy LED visszajelzővel rendelkezik. Felhasználhatósága: 250 V~ / 16 A / 3500 W. Válassz a minőségi termékeket és rendeljen webáruházunkból!</t>
        </is>
      </c>
    </row>
    <row r="2404">
      <c r="A2404" s="3" t="inlineStr">
        <is>
          <t>0743H</t>
        </is>
      </c>
      <c r="B2404" s="2" t="inlineStr">
        <is>
          <t>Digitális beltéri, heti időzítő óra</t>
        </is>
      </c>
      <c r="C2404" s="1" t="n">
        <v>5390.0</v>
      </c>
      <c r="D2404" s="7" t="n">
        <f>HYPERLINK("https://www.somogyi.hu/product/digitalis-belteri-heti-idozito-ora-0743h-13814","https://www.somogyi.hu/product/digitalis-belteri-heti-idozito-ora-0743h-13814")</f>
        <v>0.0</v>
      </c>
      <c r="E2404" s="7" t="n">
        <f>HYPERLINK("https://www.somogyi.hu/data/img/product_main_images/small/13814.jpg","https://www.somogyi.hu/data/img/product_main_images/small/13814.jpg")</f>
        <v>0.0</v>
      </c>
      <c r="F2404" s="2" t="inlineStr">
        <is>
          <t>4004282407430</t>
        </is>
      </c>
      <c r="G2404" s="4" t="inlineStr">
        <is>
          <t xml:space="preserve"> • névleges feszültség: 230 V~ 
 • kapcsolható névleges teljesítmény: 3680 W 
 • felbontás: 1 perc 
 • heti kapcsolóóra: igen 
 • programok száma: 98 ki-,bekapcsolás / hét 
 • manuális bekapcsolás: van 
 • beépített akkumulátor: van 
 • IP védettségi fokozat: IP20 
 • egyéb funkciók: véletlenszerű kapcsolás, visszaszámlálás 
 • gyerekzár: nincs</t>
        </is>
      </c>
    </row>
    <row r="2405">
      <c r="A2405" s="3" t="inlineStr">
        <is>
          <t>TD 011</t>
        </is>
      </c>
      <c r="B2405" s="2" t="inlineStr">
        <is>
          <t>Home TD 011 digitális beltéri időzítő óra, napi 10 program, 15 féle napkombinációban, heti ismétlés, beépített memóriavédelem, 250 V, 3680 W</t>
        </is>
      </c>
      <c r="C2405" s="1" t="n">
        <v>4990.0</v>
      </c>
      <c r="D2405" s="7" t="n">
        <f>HYPERLINK("https://www.somogyi.hu/product/home-td-011-digitalis-belteri-idozito-ora-napi-10-program-15-fele-napkombinacioban-heti-ismetles-beepitett-memoriavedelem-250-v-3680-w-td-011-16759","https://www.somogyi.hu/product/home-td-011-digitalis-belteri-idozito-ora-napi-10-program-15-fele-napkombinacioban-heti-ismetles-beepitett-memoriavedelem-250-v-3680-w-td-011-16759")</f>
        <v>0.0</v>
      </c>
      <c r="E2405" s="7" t="n">
        <f>HYPERLINK("https://www.somogyi.hu/data/img/product_main_images/small/16759.jpg","https://www.somogyi.hu/data/img/product_main_images/small/16759.jpg")</f>
        <v>0.0</v>
      </c>
      <c r="F2405" s="2" t="inlineStr">
        <is>
          <t>5999084947910</t>
        </is>
      </c>
      <c r="G2405" s="4" t="inlineStr">
        <is>
          <t>A TD 011 Digitális beltéri heti időzítő órán napi 10 programot és 15 féle nap- kombinációt tud beállítani heti ismétléssel. A minimum beállítható időintervallum 1 perc. Praktikus megoldás lehet olyan termékek be- ki kapcsolásához, melyeket ugyan abban az időben szeretne üzemeltetni, így a készülék ezt megteszi Ön helyett. 
A beltéri heti időzítő óra maximum 3680 W-ig terhelhető.</t>
        </is>
      </c>
    </row>
    <row r="2406">
      <c r="A2406" s="3" t="inlineStr">
        <is>
          <t>TG 24</t>
        </is>
      </c>
      <c r="B2406" s="2" t="inlineStr">
        <is>
          <t>Home TG 24 mechanikus időzítő óra, max. 16 A / 3680 W, 24 óra programozhatóság, IP44, kültéri</t>
        </is>
      </c>
      <c r="C2406" s="1" t="n">
        <v>3290.0</v>
      </c>
      <c r="D2406" s="7" t="n">
        <f>HYPERLINK("https://www.somogyi.hu/product/home-tg-24-mechanikus-idozito-ora-max-16-a-3680-w-24-ora-programozhatosag-ip44-kulteri-tg-24-17984","https://www.somogyi.hu/product/home-tg-24-mechanikus-idozito-ora-max-16-a-3680-w-24-ora-programozhatosag-ip44-kulteri-tg-24-17984")</f>
        <v>0.0</v>
      </c>
      <c r="E2406" s="7" t="n">
        <f>HYPERLINK("https://www.somogyi.hu/data/img/product_main_images/small/17984.jpg","https://www.somogyi.hu/data/img/product_main_images/small/17984.jpg")</f>
        <v>0.0</v>
      </c>
      <c r="F2406" s="2" t="inlineStr">
        <is>
          <t>5999084960063</t>
        </is>
      </c>
      <c r="G2406" s="4" t="inlineStr">
        <is>
          <t xml:space="preserve"> • névleges feszültség: 250 V~ 
 • kapcsolható névleges áramerősség: 16 (2) A 
 • kapcsolható névleges teljesítmény: 3680 (460) W 
 • felbontás: 15 perc 
 • napi kapcsolóóra: igen 
 • programok száma: 24 órára programozható, egybefüggő 
 • IP védettségi fokozat: IP44</t>
        </is>
      </c>
    </row>
    <row r="2407">
      <c r="A2407" s="3" t="inlineStr">
        <is>
          <t>TS MD 5</t>
        </is>
      </c>
      <c r="B2407" s="2" t="inlineStr">
        <is>
          <t>Home TS MD 5 kültéri napi kapcsolóóra, napi programozás,  IP44 védelem, 250 V, 3680 W</t>
        </is>
      </c>
      <c r="C2407" s="1" t="n">
        <v>3390.0</v>
      </c>
      <c r="D2407" s="7" t="n">
        <f>HYPERLINK("https://www.somogyi.hu/product/home-ts-md-5-kulteri-napi-kapcsoloora-napi-programozas-ip44-vedelem-250-v-3680-w-ts-md-5-15222","https://www.somogyi.hu/product/home-ts-md-5-kulteri-napi-kapcsoloora-napi-programozas-ip44-vedelem-250-v-3680-w-ts-md-5-15222")</f>
        <v>0.0</v>
      </c>
      <c r="E2407" s="7" t="n">
        <f>HYPERLINK("https://www.somogyi.hu/data/img/product_main_images/small/15222.jpg","https://www.somogyi.hu/data/img/product_main_images/small/15222.jpg")</f>
        <v>0.0</v>
      </c>
      <c r="F2407" s="2" t="inlineStr">
        <is>
          <t>5999084932565</t>
        </is>
      </c>
      <c r="G2407" s="4" t="inlineStr">
        <is>
          <t>Tegye hatékonyabbá az elektromos készülékek használatát és vásároljon egy praktikus kialakítású kapcsolóórát.
A TS MD 5 kapcsolóóra napi programozásra alkalmas, amely 15 perces intervallumokra állítható. A termék IP44-es védettséggel rendelkezik, így ellenálló a freccsenő vízzel szemben. Válassza a minőségi termékeket és rendeljen webáruházunkból!</t>
        </is>
      </c>
    </row>
    <row r="2408">
      <c r="A2408" s="6" t="inlineStr">
        <is>
          <t xml:space="preserve">   Villamosság / Fogyasztásmérő</t>
        </is>
      </c>
      <c r="B2408" s="6" t="inlineStr">
        <is>
          <t/>
        </is>
      </c>
      <c r="C2408" s="6" t="inlineStr">
        <is>
          <t/>
        </is>
      </c>
      <c r="D2408" s="6" t="inlineStr">
        <is>
          <t/>
        </is>
      </c>
      <c r="E2408" s="6" t="inlineStr">
        <is>
          <t/>
        </is>
      </c>
      <c r="F2408" s="6" t="inlineStr">
        <is>
          <t/>
        </is>
      </c>
      <c r="G2408" s="6" t="inlineStr">
        <is>
          <t/>
        </is>
      </c>
    </row>
    <row r="2409">
      <c r="A2409" s="3" t="inlineStr">
        <is>
          <t>EM 04</t>
        </is>
      </c>
      <c r="B2409" s="2" t="inlineStr">
        <is>
          <t>Home EM 04 fogyasztásmérő, fogyasztás és költség ellenőrzése, teljesítmény, feszültség, áramerősség, fogyasztás, költségek kijelzése, 250 V, 3680 W</t>
        </is>
      </c>
      <c r="C2409" s="1" t="n">
        <v>5990.0</v>
      </c>
      <c r="D2409" s="7" t="n">
        <f>HYPERLINK("https://www.somogyi.hu/product/home-em-04-fogyasztasmero-fogyasztas-es-koltseg-ellenorzese-teljesitmeny-feszultseg-aramerosseg-fogyasztas-koltsegek-kijelzese-250-v-3680-w-em-04-16760","https://www.somogyi.hu/product/home-em-04-fogyasztasmero-fogyasztas-es-koltseg-ellenorzese-teljesitmeny-feszultseg-aramerosseg-fogyasztas-koltsegek-kijelzese-250-v-3680-w-em-04-16760")</f>
        <v>0.0</v>
      </c>
      <c r="E2409" s="7" t="n">
        <f>HYPERLINK("https://www.somogyi.hu/data/img/product_main_images/small/16760.jpg","https://www.somogyi.hu/data/img/product_main_images/small/16760.jpg")</f>
        <v>0.0</v>
      </c>
      <c r="F2409" s="2" t="inlineStr">
        <is>
          <t>5999084947927</t>
        </is>
      </c>
      <c r="G2409" s="4" t="inlineStr">
        <is>
          <t>Az EM 04 Fogyasztásmérő segítségével folyamatosan ellenőrizheti áram fogyasztását és annak kötségeit, melyet a termék képernyőjéről olvashat le. Kijelzi a maximum illetve a minimum fogyasztást. Minden adatot memóriába tárol. Ha túlterheli a készüléket, az rögtön figyelmeztet. Széles tartományú méréshatár és pontosság jellemzi. A kijelző mutatja a teljesítményt, feszültséget, áramerősséget, frekvenciát, fogyasztást és a költséget.</t>
        </is>
      </c>
    </row>
    <row r="2410">
      <c r="A2410" s="6" t="inlineStr">
        <is>
          <t xml:space="preserve">   Villamosság / Villanykapcsoló, csatlakozóaljzat</t>
        </is>
      </c>
      <c r="B2410" s="6" t="inlineStr">
        <is>
          <t/>
        </is>
      </c>
      <c r="C2410" s="6" t="inlineStr">
        <is>
          <t/>
        </is>
      </c>
      <c r="D2410" s="6" t="inlineStr">
        <is>
          <t/>
        </is>
      </c>
      <c r="E2410" s="6" t="inlineStr">
        <is>
          <t/>
        </is>
      </c>
      <c r="F2410" s="6" t="inlineStr">
        <is>
          <t/>
        </is>
      </c>
      <c r="G2410" s="6" t="inlineStr">
        <is>
          <t/>
        </is>
      </c>
    </row>
    <row r="2411">
      <c r="A2411" s="3" t="inlineStr">
        <is>
          <t>0511466777</t>
        </is>
      </c>
      <c r="B2411" s="2" t="inlineStr">
        <is>
          <t>GAO 0511466777 Business Line IP20 csillárkapcsoló, beltéri, 230 V~ /50 Hz / 10 A, barna</t>
        </is>
      </c>
      <c r="C2411" s="1" t="n">
        <v>1150.0</v>
      </c>
      <c r="D2411" s="7" t="n">
        <f>HYPERLINK("https://www.somogyi.hu/product/gao-0511466777-business-line-ip20-csillarkapcsolo-belteri-230-v-50-hz-10-a-barna-0511466777-17852","https://www.somogyi.hu/product/gao-0511466777-business-line-ip20-csillarkapcsolo-belteri-230-v-50-hz-10-a-barna-0511466777-17852")</f>
        <v>0.0</v>
      </c>
      <c r="E2411" s="7" t="n">
        <f>HYPERLINK("https://www.somogyi.hu/data/img/product_main_images/small/17852.jpg","https://www.somogyi.hu/data/img/product_main_images/small/17852.jpg")</f>
        <v>0.0</v>
      </c>
      <c r="F2411" s="2" t="inlineStr">
        <is>
          <t>4008297114666</t>
        </is>
      </c>
      <c r="G2411" s="4" t="inlineStr">
        <is>
          <t xml:space="preserve"> • IP védettségi fokozat: IP20 
 • falon kívüli: falon kívüli, beltéri kivitel 
 • névleges feszültség: 230 V~ / 50 Hz 
 • névleges áram: 10 A 
 • csillárkapcsoló: igen 
 • szín: barna</t>
        </is>
      </c>
    </row>
    <row r="2412">
      <c r="A2412" s="3" t="inlineStr">
        <is>
          <t>0510089777</t>
        </is>
      </c>
      <c r="B2412" s="2" t="inlineStr">
        <is>
          <t>GAO 0510089777 Business Line IP20 3 férőhelyes földelt csatlakozóaljzat, beltéri, 230 V~ /50 Hz / 16 A, barna</t>
        </is>
      </c>
      <c r="C2412" s="1" t="n">
        <v>2190.0</v>
      </c>
      <c r="D2412" s="7" t="n">
        <f>HYPERLINK("https://www.somogyi.hu/product/gao-0510089777-business-line-ip20-3-ferohelyes-foldelt-csatlakozoaljzat-belteri-230-v-50-hz-16-a-barna-0510089777-17851","https://www.somogyi.hu/product/gao-0510089777-business-line-ip20-3-ferohelyes-foldelt-csatlakozoaljzat-belteri-230-v-50-hz-16-a-barna-0510089777-17851")</f>
        <v>0.0</v>
      </c>
      <c r="E2412" s="7" t="n">
        <f>HYPERLINK("https://www.somogyi.hu/data/img/product_main_images/small/17851.jpg","https://www.somogyi.hu/data/img/product_main_images/small/17851.jpg")</f>
        <v>0.0</v>
      </c>
      <c r="F2412" s="2" t="inlineStr">
        <is>
          <t>4008297100898</t>
        </is>
      </c>
      <c r="G2412" s="4" t="inlineStr">
        <is>
          <t xml:space="preserve"> • IP védettségi fokozat: IP20 
 • falon kívüli: falon kívüli, beltéri kivitel 
 • földelt: igen 
 • névleges feszültség: 230 V~ / 50 Hz 
 • névleges áram: 16 A 
 • aljzatok száma: 3 
 • szín: barna</t>
        </is>
      </c>
    </row>
    <row r="2413">
      <c r="A2413" s="3" t="inlineStr">
        <is>
          <t>0510076777</t>
        </is>
      </c>
      <c r="B2413" s="2" t="inlineStr">
        <is>
          <t>GAO 0510076777 Business Line IP20, 2 férőhelyes földelt csatlakozóaljzat, beltéri, 230 V~ /50 Hz / 16 A, barna</t>
        </is>
      </c>
      <c r="C2413" s="1" t="n">
        <v>1450.0</v>
      </c>
      <c r="D2413" s="7" t="n">
        <f>HYPERLINK("https://www.somogyi.hu/product/gao-0510076777-business-line-ip20-2-ferohelyes-foldelt-csatlakozoaljzat-belteri-230-v-50-hz-16-a-barna-0510076777-17850","https://www.somogyi.hu/product/gao-0510076777-business-line-ip20-2-ferohelyes-foldelt-csatlakozoaljzat-belteri-230-v-50-hz-16-a-barna-0510076777-17850")</f>
        <v>0.0</v>
      </c>
      <c r="E2413" s="7" t="n">
        <f>HYPERLINK("https://www.somogyi.hu/data/img/product_main_images/small/17850.jpg","https://www.somogyi.hu/data/img/product_main_images/small/17850.jpg")</f>
        <v>0.0</v>
      </c>
      <c r="F2413" s="2" t="inlineStr">
        <is>
          <t>4008297100768</t>
        </is>
      </c>
      <c r="G2413" s="4" t="inlineStr">
        <is>
          <t xml:space="preserve"> • IP védettségi fokozat: IP20 
 • falon kívüli: falon kívüli, beltéri kivitel 
 • földelt: igen 
 • névleges feszültség: 230 V~ / 50 Hz 
 • névleges áram: 16 A 
 • aljzatok száma: 2 
 • szín: barna</t>
        </is>
      </c>
    </row>
    <row r="2414">
      <c r="A2414" s="3" t="inlineStr">
        <is>
          <t>0510056777</t>
        </is>
      </c>
      <c r="B2414" s="2" t="inlineStr">
        <is>
          <t>GAO 0510056777 Business Line IP20, 1 férőhelyes földelt csatlakozóaljzat, beltéri, 230 V~ /50 Hz / 16 A, barna</t>
        </is>
      </c>
      <c r="C2414" s="1" t="n">
        <v>919.0</v>
      </c>
      <c r="D2414" s="7" t="n">
        <f>HYPERLINK("https://www.somogyi.hu/product/gao-0510056777-business-line-ip20-1-ferohelyes-foldelt-csatlakozoaljzat-belteri-230-v-50-hz-16-a-barna-0510056777-17849","https://www.somogyi.hu/product/gao-0510056777-business-line-ip20-1-ferohelyes-foldelt-csatlakozoaljzat-belteri-230-v-50-hz-16-a-barna-0510056777-17849")</f>
        <v>0.0</v>
      </c>
      <c r="E2414" s="7" t="n">
        <f>HYPERLINK("https://www.somogyi.hu/data/img/product_main_images/small/17849.jpg","https://www.somogyi.hu/data/img/product_main_images/small/17849.jpg")</f>
        <v>0.0</v>
      </c>
      <c r="F2414" s="2" t="inlineStr">
        <is>
          <t>4008297100560</t>
        </is>
      </c>
      <c r="G2414" s="4" t="inlineStr">
        <is>
          <t xml:space="preserve"> • IP védettségi fokozat: IP20 
 • falon kívüli: falon kívüli, beltéri kivitel 
 • földelt: igen 
 • névleges feszültség: 230 V~ / 50 Hz 
 • névleges áram: 16 A 
 • aljzatok száma: 1 
 • szín: barna</t>
        </is>
      </c>
    </row>
    <row r="2415">
      <c r="A2415" s="3" t="inlineStr">
        <is>
          <t>0310H</t>
        </is>
      </c>
      <c r="B2415" s="2" t="inlineStr">
        <is>
          <t>GAO 0310H Business Line IP20 földelt aljzat, 1 férőhelyes földelt csatlakozóaljzat, beltéri,  230V~/50Hz/16A, fehér</t>
        </is>
      </c>
      <c r="C2415" s="1" t="n">
        <v>779.0</v>
      </c>
      <c r="D2415" s="7" t="n">
        <f>HYPERLINK("https://www.somogyi.hu/product/gao-0310h-business-line-ip20-foldelt-aljzat-1-ferohelyes-foldelt-csatlakozoaljzat-belteri-230v-50hz-16a-feher-0310h-9937","https://www.somogyi.hu/product/gao-0310h-business-line-ip20-foldelt-aljzat-1-ferohelyes-foldelt-csatlakozoaljzat-belteri-230v-50hz-16a-feher-0310h-9937")</f>
        <v>0.0</v>
      </c>
      <c r="E2415" s="7" t="n">
        <f>HYPERLINK("https://www.somogyi.hu/data/img/product_main_images/small/09937.jpg","https://www.somogyi.hu/data/img/product_main_images/small/09937.jpg")</f>
        <v>0.0</v>
      </c>
      <c r="F2415" s="2" t="inlineStr">
        <is>
          <t>4004282403104</t>
        </is>
      </c>
      <c r="G2415" s="4" t="inlineStr">
        <is>
          <t>A felületre szerelhető beltéri kellékek vásárlása során kiemelt jelentősége van annak, hogy csakis megbízható és masszív kialakítással rendelkező termékeket részesítsünk előnyben.
A 0310H fehér színű beltéri kivitelben készült egy férőhellyel ellátott csatlakozóaljzat. Felhasználhatósága: 230 V~ / 50 Hz / 16 A. Válassza a minőségi termékeket és rendeljen webáruházunkból!</t>
        </is>
      </c>
    </row>
    <row r="2416">
      <c r="A2416" s="3" t="inlineStr">
        <is>
          <t>0314H</t>
        </is>
      </c>
      <c r="B2416" s="2" t="inlineStr">
        <is>
          <t>GAO 0314H Business Line IP20 földelt aljzat és váltókapcsoló, csatlakozóaljzat és váltókapcsoló kombináció, beltéri, 230 V~ / 50 Hz / 16/10 A, fehér</t>
        </is>
      </c>
      <c r="C2416" s="1" t="n">
        <v>1990.0</v>
      </c>
      <c r="D2416" s="7" t="n">
        <f>HYPERLINK("https://www.somogyi.hu/product/gao-0314h-business-line-ip20-foldelt-aljzat-es-valtokapcsolo-csatlakozoaljzat-es-valtokapcsolo-kombinacio-belteri-230-v-50-hz-16-10-a-feher-0314h-9941","https://www.somogyi.hu/product/gao-0314h-business-line-ip20-foldelt-aljzat-es-valtokapcsolo-csatlakozoaljzat-es-valtokapcsolo-kombinacio-belteri-230-v-50-hz-16-10-a-feher-0314h-9941")</f>
        <v>0.0</v>
      </c>
      <c r="E2416" s="7" t="n">
        <f>HYPERLINK("https://www.somogyi.hu/data/img/product_main_images/small/09941.jpg","https://www.somogyi.hu/data/img/product_main_images/small/09941.jpg")</f>
        <v>0.0</v>
      </c>
      <c r="F2416" s="2" t="inlineStr">
        <is>
          <t>4004282403142</t>
        </is>
      </c>
      <c r="G2416" s="4" t="inlineStr">
        <is>
          <t>A felületre szerelhető beltéri kellékek vásárlása során kiemelt jelentősége van annak, hogy csakis megbízható és masszív kialakítással rendelkező termékeket részesítsünk előnyben.
A 0314H a csatlakozóaljzat és a váltókapcsoló kombinációja, amely beltéri kivitelben készült. Felhasználhatósága: 230 V~ / 50 Hz / 16 / 10 A. Válassza a minőségi termékeket és rendeljen webáruházunkból!</t>
        </is>
      </c>
    </row>
    <row r="2417">
      <c r="A2417" s="3" t="inlineStr">
        <is>
          <t>22181</t>
        </is>
      </c>
      <c r="B2417" s="2" t="inlineStr">
        <is>
          <t>GAO 22181 2 pólusú kapcsoló, kültéri IP44 kivitel, 230 V~ / 50 Hz / 10 A, fehér</t>
        </is>
      </c>
      <c r="C2417" s="1" t="n">
        <v>1850.0</v>
      </c>
      <c r="D2417" s="7" t="n">
        <f>HYPERLINK("https://www.somogyi.hu/product/gao-22181-2-polusu-kapcsolo-kulteri-ip44-kivitel-230-v-50-hz-10-a-feher-22181-15315","https://www.somogyi.hu/product/gao-22181-2-polusu-kapcsolo-kulteri-ip44-kivitel-230-v-50-hz-10-a-feher-22181-15315")</f>
        <v>0.0</v>
      </c>
      <c r="E2417" s="7" t="n">
        <f>HYPERLINK("https://www.somogyi.hu/data/img/product_main_images/small/15315.jpg","https://www.somogyi.hu/data/img/product_main_images/small/15315.jpg")</f>
        <v>0.0</v>
      </c>
      <c r="F2417" s="2" t="inlineStr">
        <is>
          <t>4008297221814</t>
        </is>
      </c>
      <c r="G2417" s="4" t="inlineStr">
        <is>
          <t>A kétpólusú kapcsoló ideális kültéri használatra az IP 44 védelem által. A fehér színű kapcsoló a fázis és a 0 megszakítására alkalmas.</t>
        </is>
      </c>
    </row>
    <row r="2418">
      <c r="A2418" s="3" t="inlineStr">
        <is>
          <t>9870H</t>
        </is>
      </c>
      <c r="B2418" s="2" t="inlineStr">
        <is>
          <t>AQUATOP 9870H falon kívüli váltókapcsoló, 10 A, IP54, szürke</t>
        </is>
      </c>
      <c r="C2418" s="1" t="n">
        <v>1190.0</v>
      </c>
      <c r="D2418" s="7" t="n">
        <f>HYPERLINK("https://www.somogyi.hu/product/aquatop-9870h-falon-kivuli-valtokapcsolo-10-a-ip54-szurke-9870h-18465","https://www.somogyi.hu/product/aquatop-9870h-falon-kivuli-valtokapcsolo-10-a-ip54-szurke-9870h-18465")</f>
        <v>0.0</v>
      </c>
      <c r="E2418" s="7" t="n">
        <f>HYPERLINK("https://www.somogyi.hu/data/img/product_main_images/small/18465.jpg","https://www.somogyi.hu/data/img/product_main_images/small/18465.jpg")</f>
        <v>0.0</v>
      </c>
      <c r="F2418" s="2" t="inlineStr">
        <is>
          <t>4004282498704</t>
        </is>
      </c>
      <c r="G2418" s="4" t="inlineStr">
        <is>
          <t>Egy megbízható megoldást keres kültéri villanyszerelési munkákhoz? Az AQUATOP 9870H falon kívüli váltókapcsoló ideális választás azok számára, akik robusztus és időjárásálló kapcsolót keresnek kertjükbe, teraszukra vagy bármely kültéri helyszínre. Ez a váltókapcsoló akár 10A-t is kapcsol, ami bőségesen elegendő a legtöbb kültéri világítási és elektromos berendezés számára.
Az IP54 besorolás biztosítja, hogy a kapcsoló védett a por és a fröccsenő víz ellen, tehát kiválóan ellenáll a kültéri körülményeknek. A szürke színű, 92 x 65 x 55 mm méretű készülék nemcsak funkcionális, hanem esztétikailag is illeszkedik a modern kültéri tervezési követelményekhez.
Telepítése egyszerű és gyors, így Ön hamar élvezheti annak kényelmét és biztonságát, hogy kültéri világítását vagy berendezéseit könnyedén irányíthatja. Válassza az AQUATOP 9870H falon kívüli váltókapcsolót, hogy kültéri elektromos rendszerei biztonságosan és megbízhatóan működjenek minden időjárási körülmény között.</t>
        </is>
      </c>
    </row>
    <row r="2419">
      <c r="A2419" s="3" t="inlineStr">
        <is>
          <t>9871H</t>
        </is>
      </c>
      <c r="B2419" s="2" t="inlineStr">
        <is>
          <t>AQUATOP 9871H falon kívüli dugalj, 1 db aljzat, 16 A, IP54, szürke</t>
        </is>
      </c>
      <c r="C2419" s="1" t="n">
        <v>1050.0</v>
      </c>
      <c r="D2419" s="7" t="n">
        <f>HYPERLINK("https://www.somogyi.hu/product/aquatop-9871h-falon-kivuli-dugalj-1-db-aljzat-16-a-ip54-szurke-9871h-18466","https://www.somogyi.hu/product/aquatop-9871h-falon-kivuli-dugalj-1-db-aljzat-16-a-ip54-szurke-9871h-18466")</f>
        <v>0.0</v>
      </c>
      <c r="E2419" s="7" t="n">
        <f>HYPERLINK("https://www.somogyi.hu/data/img/product_main_images/small/18466.jpg","https://www.somogyi.hu/data/img/product_main_images/small/18466.jpg")</f>
        <v>0.0</v>
      </c>
      <c r="F2419" s="2" t="inlineStr">
        <is>
          <t>4004282498711</t>
        </is>
      </c>
      <c r="G2419" s="4" t="inlineStr">
        <is>
          <t>Szüksége van egy megbízható, kültéri használatra alkalmas dugaljra? Az AQUATOP 9871H falon kívüli dugalj kiváló választás azok számára, akik strapabíró és időjárásálló megoldást keresnek otthonuk külső tereibe. Ez a készülék egy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65 x 55 mm design gondoskodik róla, hogy az AQUATOP 9871H esztétikailag is illeszkedjen a környezetbe, miközben diszkréten végzi a feladatát.
Telepítése egyszerű, így Ön gyorsan élvezheti annak előnyeit, hogy kültéri elektromos készülékeit biztonságosan, a kényelme és igényei szerint tudja használni. Az AQUATOP 9871H falon kívüli dugalj a tökéletes választás, ha tartós és biztonságos kültéri elektromos megoldást keres.</t>
        </is>
      </c>
    </row>
    <row r="2420">
      <c r="A2420" s="3" t="inlineStr">
        <is>
          <t>9872H</t>
        </is>
      </c>
      <c r="B2420" s="2" t="inlineStr">
        <is>
          <t>AQUATOP 9872H falon kívüli dugalj, 2 db aljzat, 16 A, IP54, szürke</t>
        </is>
      </c>
      <c r="C2420" s="1" t="n">
        <v>1850.0</v>
      </c>
      <c r="D2420" s="7" t="n">
        <f>HYPERLINK("https://www.somogyi.hu/product/aquatop-9872h-falon-kivuli-dugalj-2-db-aljzat-16-a-ip54-szurke-9872h-18467","https://www.somogyi.hu/product/aquatop-9872h-falon-kivuli-dugalj-2-db-aljzat-16-a-ip54-szurke-9872h-18467")</f>
        <v>0.0</v>
      </c>
      <c r="E2420" s="7" t="n">
        <f>HYPERLINK("https://www.somogyi.hu/data/img/product_main_images/small/18467.jpg","https://www.somogyi.hu/data/img/product_main_images/small/18467.jpg")</f>
        <v>0.0</v>
      </c>
      <c r="F2420" s="2" t="inlineStr">
        <is>
          <t>4004282498728</t>
        </is>
      </c>
      <c r="G2420" s="4" t="inlineStr">
        <is>
          <t>Szüksége van egy megbízható, kültéri használatra alkalmas dugaljra? Az AQUATOP 9872H falon kívüli dupla dugalj kiváló választás azok számára, akik strapabíró és időjárásálló megoldást keresnek otthonuk külső tereibe. Ez a készülék két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127,5 x 55 mm design gondoskodik róla, hogy az AQUATOP 9872H esztétikailag is illeszkedjen a környezetbe, miközben diszkréten végzi a feladatát.
Telepítése egyszerű, így Ön gyorsan élvezheti annak előnyeit, hogy kültéri elektromos készülékeit biztonságosan, a kényelme és igényei szerint tudja használni. Az AQUATOP 9872H falon kívüli dugalj a tökéletes választás, ha tartós és biztonságos kültéri elektromos megoldást keres.</t>
        </is>
      </c>
    </row>
    <row r="2421">
      <c r="A2421" s="3" t="inlineStr">
        <is>
          <t>9873H</t>
        </is>
      </c>
      <c r="B2421" s="2" t="inlineStr">
        <is>
          <t>AQUATOP 9873H falon kívüli váltókapcsoló és dugalj, 1 billenő, 1 aljzat, vízszintes, 10 A/16 A, IP54, szürke</t>
        </is>
      </c>
      <c r="C2421" s="1" t="n">
        <v>2590.0</v>
      </c>
      <c r="D2421" s="7" t="n">
        <f>HYPERLINK("https://www.somogyi.hu/product/aquatop-9873h-falon-kivuli-valtokapcsolo-es-dugalj-1-billeno-1-aljzat-vizszintes-10-a-16-a-ip54-szurke-9873h-18468","https://www.somogyi.hu/product/aquatop-9873h-falon-kivuli-valtokapcsolo-es-dugalj-1-billeno-1-aljzat-vizszintes-10-a-16-a-ip54-szurke-9873h-18468")</f>
        <v>0.0</v>
      </c>
      <c r="E2421" s="7" t="n">
        <f>HYPERLINK("https://www.somogyi.hu/data/img/product_main_images/small/18468.jpg","https://www.somogyi.hu/data/img/product_main_images/small/18468.jpg")</f>
        <v>0.0</v>
      </c>
      <c r="F2421" s="2" t="inlineStr">
        <is>
          <t>4004282498735</t>
        </is>
      </c>
      <c r="G2421" s="4" t="inlineStr">
        <is>
          <t>Szüksége van egy kültéri, mindenféle időjárásnak ellenálló váltókapcsolóra és dugaljra? Az AQUATOP 9873H a tökéletes megoldás otthona külső területeire. Ez a készülék egy praktikus kombinációt kínál: egy billenőkapcsolót és egy csatlakozóaljzatot, amelyek vízszintes elrendezésben helyezkednek el, és ideálisak különböző kültéri elektromos szükségletekhez.
A termék IP54 védettségi szinttel rendelkezik, ellenáll a por, valamint a minden irányból érkező fröccsenő víz ellen, biztosítva a kültéri használat során a biztonságot és a megbízhatóságot. A váltókapcsoló és az aljzat 10A, vagy 16A névleges áramellátást nyújt, ami megfelel a legtöbb otthoni elektromos készülék igényeinek.
Elegáns szürke színe és kompakt méretei (92 x 127,5 x 55 mm) lehetővé teszik, hogy diszkréten illeszkedjen bármely külső tér dizájnjához, miközben praktikus funkciókat biztosít. Falon kívüli kialakítása miatt egyszerűen telepíthető bármely kívánt helyen, ahol szükség van elektromos áramra.
Ne hagyja, hogy a kültéri elektromos igények korlátozzák terveit! Az AQUATOP 9873H váltókapcsoló és dugalj kombinációjával Ön könnyedén hozzáadhat elektromos hozzáférést kertjéhez, teraszához vagy bármely külső területhez, növelve ezzel otthona kényelmét és funkcionalitását.</t>
        </is>
      </c>
    </row>
    <row r="2422">
      <c r="A2422" s="3" t="inlineStr">
        <is>
          <t>9875H</t>
        </is>
      </c>
      <c r="B2422" s="2" t="inlineStr">
        <is>
          <t>AQUATOP 9875H falon kívüli csillárkapcsoló, 2 billenő, 10 A, IP54, szürke</t>
        </is>
      </c>
      <c r="C2422" s="1" t="n">
        <v>1550.0</v>
      </c>
      <c r="D2422" s="7" t="n">
        <f>HYPERLINK("https://www.somogyi.hu/product/aquatop-9875h-falon-kivuli-csillarkapcsolo-2-billeno-10-a-ip54-szurke-9875h-18469","https://www.somogyi.hu/product/aquatop-9875h-falon-kivuli-csillarkapcsolo-2-billeno-10-a-ip54-szurke-9875h-18469")</f>
        <v>0.0</v>
      </c>
      <c r="E2422" s="7" t="n">
        <f>HYPERLINK("https://www.somogyi.hu/data/img/product_main_images/small/18469.jpg","https://www.somogyi.hu/data/img/product_main_images/small/18469.jpg")</f>
        <v>0.0</v>
      </c>
      <c r="F2422" s="2" t="inlineStr">
        <is>
          <t>4004282498759</t>
        </is>
      </c>
      <c r="G2422" s="4" t="inlineStr">
        <is>
          <t>Egy megbízható kapcsolót keres, amely bírja az időjárás viszontagságait és kültéren használható? Az AQUATOP 9875H falon kívüli csillárkapcsolóval nem kell tovább keresgélnie. Ez a robusztus kapcsoló két billenővel rendelkezik, így két különböző fényforrást is képes kezelni, ideális külső világítási rendszerekhez, például kerti pavilonokhoz vagy teraszokhoz.
IP54 besorolásának köszönhetően az AQUATOP 9875H ellenáll a por és fröccsenő víz behatolásának, így bármilyen kültéri környezetben biztonságosan használható. 10 A-t is képes kapcsolni, így sokféle kültéri világítási igényt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csillárkapcsoló nyújt.
Bővítse ki kültéri világítási rendszerét az AQUATOP 9875H falon kívüli csillárkapcsolóval, mely nemcsak praktikus, de időjárásálló megoldást is kínál világítási igényeihez.</t>
        </is>
      </c>
    </row>
    <row r="2423">
      <c r="A2423" s="3" t="inlineStr">
        <is>
          <t>9876H</t>
        </is>
      </c>
      <c r="B2423" s="2" t="inlineStr">
        <is>
          <t>AQUATOP 9876H falon kívüli váltókapcsoló, 1 billenő, 10 A, IP54, szürke, jelzőfénnyel</t>
        </is>
      </c>
      <c r="C2423" s="1" t="n">
        <v>1550.0</v>
      </c>
      <c r="D2423" s="7" t="n">
        <f>HYPERLINK("https://www.somogyi.hu/product/aquatop-9876h-falon-kivuli-valtokapcsolo-1-billeno-10-a-ip54-szurke-jelzofennyel-9876h-18470","https://www.somogyi.hu/product/aquatop-9876h-falon-kivuli-valtokapcsolo-1-billeno-10-a-ip54-szurke-jelzofennyel-9876h-18470")</f>
        <v>0.0</v>
      </c>
      <c r="E2423" s="7" t="n">
        <f>HYPERLINK("https://www.somogyi.hu/data/img/product_main_images/small/18470.jpg","https://www.somogyi.hu/data/img/product_main_images/small/18470.jpg")</f>
        <v>0.0</v>
      </c>
      <c r="F2423" s="2" t="inlineStr">
        <is>
          <t>4004282498766</t>
        </is>
      </c>
      <c r="G2423" s="4" t="inlineStr">
        <is>
          <t>Egy megbízható kapcsolót keres, amely bírja az időjárás viszontagságait és kültéren használható? Az AQUATOP 9876H falon kívüli váltókapcsolóval nem kell tovább keresgélnie. Ez a robusztus kapcsoló billenővel és irányfénnyel is rendelkezik, ideális sötét helyiségekben való telepítésre.
IP54 besorolásának köszönhetően az AQUATOP 9876H ellenáll a por és fröccsenő víz behatolásának, így bármilyen kültéri környezetben biztonságosan használható. 10 A névleges áramerőssége biztosítja, hogy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váltókapcsoló nyújt.
Bővítse ki kültéri világítási rendszerét az AQUATOP 9876H falon kívüli váltókapcsolóval, mely nemcsak praktikus, de időjárásálló megoldást is kínál világítási igényeihez.</t>
        </is>
      </c>
    </row>
    <row r="2424">
      <c r="A2424" s="3" t="inlineStr">
        <is>
          <t>9877H</t>
        </is>
      </c>
      <c r="B2424" s="2" t="inlineStr">
        <is>
          <t>AQUATOP 9877H falon kívüli nyomókapcsoló, 1 billenő, 10 A, IP54, szürke, jelzőfény</t>
        </is>
      </c>
      <c r="C2424" s="1" t="n">
        <v>1590.0</v>
      </c>
      <c r="D2424" s="7" t="n">
        <f>HYPERLINK("https://www.somogyi.hu/product/aquatop-9877h-falon-kivuli-nyomokapcsolo-1-billeno-10-a-ip54-szurke-jelzofeny-9877h-18471","https://www.somogyi.hu/product/aquatop-9877h-falon-kivuli-nyomokapcsolo-1-billeno-10-a-ip54-szurke-jelzofeny-9877h-18471")</f>
        <v>0.0</v>
      </c>
      <c r="E2424" s="7" t="n">
        <f>HYPERLINK("https://www.somogyi.hu/data/img/product_main_images/small/18471.jpg","https://www.somogyi.hu/data/img/product_main_images/small/18471.jpg")</f>
        <v>0.0</v>
      </c>
      <c r="F2424" s="2" t="inlineStr">
        <is>
          <t>4004282498773</t>
        </is>
      </c>
      <c r="G2424" s="4" t="inlineStr">
        <is>
          <t>Egy megbízható kapcsolót keres, amely bírja az időjárás viszontagságait és kültéren használható? Az AQUATOP 9877H falon kívüli nyomókapcsolóval nem kell tovább keresgélnie. Ez a robusztus kapcsoló billenővel és irányfénnyel is rendelkezik, ideális sötét helyiségekben való telepítésre.
IP54 besorolásának köszönhetően az AQUATOP 9877H ellenáll a por és fröccsenő víz behatolásának, így bármilyen kültéri környezetben biztonságosan használható. 10 A-t is képes kapcsolni, így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nyomókapcsoló nyújt.
Bővítse ki kültéri világítási rendszerét az AQUATOP 9877H falon kívüli nyomókapcsolóval, mely nemcsak praktikus, de időjárásálló megoldást is kínál világítási igényeihez.</t>
        </is>
      </c>
    </row>
    <row r="2425">
      <c r="A2425" s="3" t="inlineStr">
        <is>
          <t>9878H</t>
        </is>
      </c>
      <c r="B2425" s="2" t="inlineStr">
        <is>
          <t>AQUATOP 9878H falon kívüli váltókapcsoló és csatlakozóaljzat, 1 billenő, 1 aljzat, függőleges elhelyezkedés, 10 A/16 A, IP54, szürke</t>
        </is>
      </c>
      <c r="C2425" s="1" t="n">
        <v>2590.0</v>
      </c>
      <c r="D2425" s="7" t="n">
        <f>HYPERLINK("https://www.somogyi.hu/product/aquatop-9878h-falon-kivuli-valtokapcsolo-es-csatlakozoaljzat-1-billeno-1-aljzat-fuggoleges-elhelyezkedes-10-a-16-a-ip54-szurke-9878h-18472","https://www.somogyi.hu/product/aquatop-9878h-falon-kivuli-valtokapcsolo-es-csatlakozoaljzat-1-billeno-1-aljzat-fuggoleges-elhelyezkedes-10-a-16-a-ip54-szurke-9878h-18472")</f>
        <v>0.0</v>
      </c>
      <c r="E2425" s="7" t="n">
        <f>HYPERLINK("https://www.somogyi.hu/data/img/product_main_images/small/18472.jpg","https://www.somogyi.hu/data/img/product_main_images/small/18472.jpg")</f>
        <v>0.0</v>
      </c>
      <c r="F2425" s="2" t="inlineStr">
        <is>
          <t>4004282498780</t>
        </is>
      </c>
      <c r="G2425" s="4" t="inlineStr">
        <is>
          <t>Egy megbízható és időjárásálló megoldást keres, hogy kinti helyiségeiben is kényelmesen kapcsolhassa a fényeket és csatlakoztassa elektromos eszközeit? Az AQUATOP 9878H falon kívüli váltókapcsoló és csatlakozóaljzat ideális választás lehet. Egyetlen billenővel és aljzattal rendelkezik, amely egyszerűvé és gyorssá teszi a használatot kültéri környezetben.
IP54 védettséggel rendelkezik, így ellenáll a por és fröccsenő víz behatolásának, biztosítva a hosszú élettartamot és a megbízható működést. A névleges áramerőssége 10A/16A, ami kiválóan alkalmassá teszi különféle külső elektromos eszközök, például kerti lámpák vagy szerszámgépek táplálására.
Szürke színének és diszkrét méretének (184 x 65 x 55 mm) köszönhetően tökéletesen illeszkedik a kert vagy terasz kialakításához, anélkül, hogy zavarna a környezet esztétikájában. Függőleges elhelyezkedése és a falon kívüli kivitel lehetővé teszi, hogy egyszerűen és gyorsan telepíthető legyen, így Ön rövid időn belül élvezheti a növelt kényelmet és funkcionalitást, amit ez a váltókapcsoló és csatlakozóaljzat kínál.
Válassza az AQUATOP 9878H terméket, ha egy robusztus és egyszerűen használható megoldást keres kültéri elektromos rendszereihez!</t>
        </is>
      </c>
    </row>
    <row r="2426">
      <c r="A2426" s="3" t="inlineStr">
        <is>
          <t>0311H</t>
        </is>
      </c>
      <c r="B2426" s="2" t="inlineStr">
        <is>
          <t>GAO 0311H Business Line IP20 2 férőhelyes földelt aljzat, 2 férőhelyes földelt csatlakozóaljzat, beltéri, 230 V~ / 50 Hz / 16 A, fehér</t>
        </is>
      </c>
      <c r="C2426" s="1" t="n">
        <v>1590.0</v>
      </c>
      <c r="D2426" s="7" t="n">
        <f>HYPERLINK("https://www.somogyi.hu/product/gao-0311h-business-line-ip20-2-ferohelyes-foldelt-aljzat-2-ferohelyes-foldelt-csatlakozoaljzat-belteri-230-v-50-hz-16-a-feher-0311h-9938","https://www.somogyi.hu/product/gao-0311h-business-line-ip20-2-ferohelyes-foldelt-aljzat-2-ferohelyes-foldelt-csatlakozoaljzat-belteri-230-v-50-hz-16-a-feher-0311h-9938")</f>
        <v>0.0</v>
      </c>
      <c r="E2426" s="7" t="n">
        <f>HYPERLINK("https://www.somogyi.hu/data/img/product_main_images/small/09938.jpg","https://www.somogyi.hu/data/img/product_main_images/small/09938.jpg")</f>
        <v>0.0</v>
      </c>
      <c r="F2426" s="2" t="inlineStr">
        <is>
          <t>4004282403111</t>
        </is>
      </c>
      <c r="G2426" s="4" t="inlineStr">
        <is>
          <t>A felületre szerelhető beltéri kellékek vásárlása során kiemelt jelentősége van annak, hogy csakis megbízható és masszív kialakítással rendelkező termékeket részesítsünk előnyben.
A 0311H fehér színű beltéri kivitelben készült két férőhellyel ellátott csatlakozóaljzat. Felhasználhatósága: 230 V~ / 50 Hz / 16 A. Válassza a minőségi termékeket és rendeljen webáruházunkból!</t>
        </is>
      </c>
    </row>
    <row r="2427">
      <c r="A2427" s="3" t="inlineStr">
        <is>
          <t>0312H</t>
        </is>
      </c>
      <c r="B2427" s="2" t="inlineStr">
        <is>
          <t>GAO 0312H Business Line IP20 3 férőhelyes földelt aljzat, 3 férőhelyes földelt csatlakozóaljzat, beltéri, 230 V~ / 50 Hz / 16 A, fehér</t>
        </is>
      </c>
      <c r="C2427" s="1" t="n">
        <v>2090.0</v>
      </c>
      <c r="D2427" s="7" t="n">
        <f>HYPERLINK("https://www.somogyi.hu/product/gao-0312h-business-line-ip20-3-ferohelyes-foldelt-aljzat-3-ferohelyes-foldelt-csatlakozoaljzat-belteri-230-v-50-hz-16-a-feher-0312h-9939","https://www.somogyi.hu/product/gao-0312h-business-line-ip20-3-ferohelyes-foldelt-aljzat-3-ferohelyes-foldelt-csatlakozoaljzat-belteri-230-v-50-hz-16-a-feher-0312h-9939")</f>
        <v>0.0</v>
      </c>
      <c r="E2427" s="7" t="n">
        <f>HYPERLINK("https://www.somogyi.hu/data/img/product_main_images/small/09939.jpg","https://www.somogyi.hu/data/img/product_main_images/small/09939.jpg")</f>
        <v>0.0</v>
      </c>
      <c r="F2427" s="2" t="inlineStr">
        <is>
          <t>4004282403128</t>
        </is>
      </c>
      <c r="G2427" s="4" t="inlineStr">
        <is>
          <t>A felületre szerelhető beltéri kellékek vásárlása során kiemelt jelentősége van annak, hogy csakis megbízható és masszív kialakítással rendelkező termékeket részesítsünk előnyben.
A 0312H fehér színű beltéri kivitelben készült három férőhellyel ellátott csatlakozóaljzat. Felhasználhatósága: 230 V~ / 50 Hz / 16 A. Válassza a minőségi termékeket és rendeljen webáruházunkból!</t>
        </is>
      </c>
    </row>
    <row r="2428">
      <c r="A2428" s="3" t="inlineStr">
        <is>
          <t>0313H</t>
        </is>
      </c>
      <c r="B2428" s="2" t="inlineStr">
        <is>
          <t>GAO 0313H Business Line IP20 4 férőhelyes földelt aljzat, 4 férőhelyes földelt csatlakozóaljzat, beltéri, 230 V~ / 50 Hz / 16 A, fehér</t>
        </is>
      </c>
      <c r="C2428" s="1" t="n">
        <v>2490.0</v>
      </c>
      <c r="D2428" s="7" t="n">
        <f>HYPERLINK("https://www.somogyi.hu/product/gao-0313h-business-line-ip20-4-ferohelyes-foldelt-aljzat-4-ferohelyes-foldelt-csatlakozoaljzat-belteri-230-v-50-hz-16-a-feher-0313h-9940","https://www.somogyi.hu/product/gao-0313h-business-line-ip20-4-ferohelyes-foldelt-aljzat-4-ferohelyes-foldelt-csatlakozoaljzat-belteri-230-v-50-hz-16-a-feher-0313h-9940")</f>
        <v>0.0</v>
      </c>
      <c r="E2428" s="7" t="n">
        <f>HYPERLINK("https://www.somogyi.hu/data/img/product_main_images/small/09940.jpg","https://www.somogyi.hu/data/img/product_main_images/small/09940.jpg")</f>
        <v>0.0</v>
      </c>
      <c r="F2428" s="2" t="inlineStr">
        <is>
          <t>4004282403135</t>
        </is>
      </c>
      <c r="G2428" s="4" t="inlineStr">
        <is>
          <t>A felületre szerelhető beltéri kellékek vásárlása során kiemelt jelentősége van annak, hogy csakis megbízható és masszív kialakítással rendelkező termékeket részesítsünk előnyben.
A 0313H fehér színű beltéri kivitelben készült négy férőhellyel ellátott csatlakozóaljzat. Felhasználhatósága: 230 V~ / 50 Hz / 16 A. Válassza a minőségi termékeket és rendeljen webáruházunkból!</t>
        </is>
      </c>
    </row>
    <row r="2429">
      <c r="A2429" s="3" t="inlineStr">
        <is>
          <t>0315H</t>
        </is>
      </c>
      <c r="B2429" s="2" t="inlineStr">
        <is>
          <t>GAO 0315H Business Line IP20 csillárkapcsoló, beltéri, 230 V~ / 50 Hz / 10 A, fehér</t>
        </is>
      </c>
      <c r="C2429" s="1" t="n">
        <v>959.0</v>
      </c>
      <c r="D2429" s="7" t="n">
        <f>HYPERLINK("https://www.somogyi.hu/product/gao-0315h-business-line-ip20-csillarkapcsolo-belteri-230-v-50-hz-10-a-feher-0315h-9942","https://www.somogyi.hu/product/gao-0315h-business-line-ip20-csillarkapcsolo-belteri-230-v-50-hz-10-a-feher-0315h-9942")</f>
        <v>0.0</v>
      </c>
      <c r="E2429" s="7" t="n">
        <f>HYPERLINK("https://www.somogyi.hu/data/img/product_main_images/small/09942.jpg","https://www.somogyi.hu/data/img/product_main_images/small/09942.jpg")</f>
        <v>0.0</v>
      </c>
      <c r="F2429" s="2" t="inlineStr">
        <is>
          <t>4004282403159</t>
        </is>
      </c>
      <c r="G2429" s="4" t="inlineStr">
        <is>
          <t>A felületre szerelhető beltéri kellékek vásárlása során kiemelt jelentősége van annak, hogy csakis megbízható és masszív kialakítással rendelkező termékeket részesítsünk előnyben.
A 0315H beltéri kivitelben készült csillárkapcsoló. Felhasználhatósága: 230 V~ / 50 Hz / 10 A. Válassza a minőségi termékeket és rendeljen webáruházunkból!</t>
        </is>
      </c>
    </row>
    <row r="2430">
      <c r="A2430" s="3" t="inlineStr">
        <is>
          <t>0316H</t>
        </is>
      </c>
      <c r="B2430" s="2" t="inlineStr">
        <is>
          <t>GAO 0316H Business Line IP20 váltókapcsoló, beltéri, 230 V~ / 50 Hz / 10 A, fehér</t>
        </is>
      </c>
      <c r="C2430" s="1" t="n">
        <v>1150.0</v>
      </c>
      <c r="D2430" s="7" t="n">
        <f>HYPERLINK("https://www.somogyi.hu/product/gao-0316h-business-line-ip20-valtokapcsolo-belteri-230-v-50-hz-10-a-feher-0316h-9944","https://www.somogyi.hu/product/gao-0316h-business-line-ip20-valtokapcsolo-belteri-230-v-50-hz-10-a-feher-0316h-9944")</f>
        <v>0.0</v>
      </c>
      <c r="E2430" s="7" t="n">
        <f>HYPERLINK("https://www.somogyi.hu/data/img/product_main_images/small/09944.jpg","https://www.somogyi.hu/data/img/product_main_images/small/09944.jpg")</f>
        <v>0.0</v>
      </c>
      <c r="F2430" s="2" t="inlineStr">
        <is>
          <t>4004282403166</t>
        </is>
      </c>
      <c r="G2430" s="4" t="inlineStr">
        <is>
          <t>A felületre szerelhető beltéri kellékek vásárlása során kiemelt jelentősége van annak, hogy csakis megbízható és masszív kialakítással rendelkező termékeket részesítsünk előnyben.
A 0316H beltéri kivitelben készült váltókapcsoló. Felhasználhatósága: 230 V~ / 50 Hz / 10 A. Válassza a minőségi termékeket és rendeljen webáruházunkból!</t>
        </is>
      </c>
    </row>
    <row r="2431">
      <c r="A2431" s="3" t="inlineStr">
        <is>
          <t>0323H</t>
        </is>
      </c>
      <c r="B2431" s="2" t="inlineStr">
        <is>
          <t>GAO 0323H Business Line IP20 nyomókapcsoló, beltéri, 230 V~ / 50 Hz / 10 A, fehér</t>
        </is>
      </c>
      <c r="C2431" s="1" t="n">
        <v>919.0</v>
      </c>
      <c r="D2431" s="7" t="n">
        <f>HYPERLINK("https://www.somogyi.hu/product/gao-0323h-business-line-ip20-nyomokapcsolo-belteri-230-v-50-hz-10-a-feher-0323h-9945","https://www.somogyi.hu/product/gao-0323h-business-line-ip20-nyomokapcsolo-belteri-230-v-50-hz-10-a-feher-0323h-9945")</f>
        <v>0.0</v>
      </c>
      <c r="E2431" s="7" t="n">
        <f>HYPERLINK("https://www.somogyi.hu/data/img/product_main_images/small/09945.jpg","https://www.somogyi.hu/data/img/product_main_images/small/09945.jpg")</f>
        <v>0.0</v>
      </c>
      <c r="F2431" s="2" t="inlineStr">
        <is>
          <t>4004282403234</t>
        </is>
      </c>
      <c r="G2431" s="4" t="inlineStr">
        <is>
          <t>A felületre szerelhető beltéri kellékek vásárlása során kiemelt jelentősége van annak, hogy csakis megbízható és masszív kialakítással rendelkező termékeket részesítsünk előnyben.
A 0323H beltéri kivitelben készült nyomókapcsoló. Felhasználhatósága: 230 V~ / 50 Hz / 10 A. Válassza a minőségi termékeket és rendeljen webáruházunkból!</t>
        </is>
      </c>
    </row>
    <row r="2432">
      <c r="A2432" s="3" t="inlineStr">
        <is>
          <t>NVK SWITCH</t>
        </is>
      </c>
      <c r="B2432" s="2" t="inlineStr">
        <is>
          <t xml:space="preserve">Home NVK SWITCH vezeték és elem nélküli lámpakapcsoló, 230 V~ / 3000 W / 13 A, kinetikus energia, 120 m hatótáv, ezisztív terhelés kapcsolására </t>
        </is>
      </c>
      <c r="C2432" s="1" t="n">
        <v>6090.0</v>
      </c>
      <c r="D2432" s="7" t="n">
        <f>HYPERLINK("https://www.somogyi.hu/product/home-nvk-switch-vezetek-es-elem-nelkuli-lampakapcsolo-230-v-3000-w-13-a-kinetikus-energia-120-m-hatotav-ezisztiv-terheles-kapcsolasara-nvk-switch-17257","https://www.somogyi.hu/product/home-nvk-switch-vezetek-es-elem-nelkuli-lampakapcsolo-230-v-3000-w-13-a-kinetikus-energia-120-m-hatotav-ezisztiv-terheles-kapcsolasara-nvk-switch-17257")</f>
        <v>0.0</v>
      </c>
      <c r="E2432" s="7" t="n">
        <f>HYPERLINK("https://www.somogyi.hu/data/img/product_main_images/small/17257.jpg","https://www.somogyi.hu/data/img/product_main_images/small/17257.jpg")</f>
        <v>0.0</v>
      </c>
      <c r="F2432" s="2" t="inlineStr">
        <is>
          <t>5999084952792</t>
        </is>
      </c>
      <c r="G2432" s="4" t="inlineStr">
        <is>
          <t>Egy megbízható, modern kapcsolórendszert keres, amely az év minden napján, még hideg időben is tökéletesen működik? A Home NVK SWITCH az ideális megoldás!
Ez a rendkívül praktikus kapcsolómodul 230V~ / 3.000W / 13A teljesítményre képes, és különösen alkalmas rezisztív terhelések, például lámpák kapcsolására. Kisméretű és könnyen beépíthető, így tökéletesen illeszkedik otthonába vagy irodájába. A modulon található be- és kikapcsoló, valamint a LED visszajelzők biztosítják, hogy mindig tisztában legyen a rendszer állapotával.
A Home NVK SWITCH egyedi kódolású tanuló funkcióval rendelkezik, így akár 8 különböző nyomógombbal is párosítható. A rendszer memóriája áramszünet esetén is megőrzi a beállításokat, így Önnek nem kell aggódnia az adatvesztés miatt. A nyomógombok víznek fokozottan ellenállóak, így kültéren is használhatóak. A hatótávolság nyílt terepen akár 120 méter is lehet, a működési frekvencia pedig 433,92MHz.
A nyomógomb kinetikus energiával működik, így soha nem lesz szükség elem cseréjére, a kapcsoló modul pedig 230V~50Hz / 0,3Wmax. tápellátással rendelkezik. A nyomógomb és a modul méretei (50x82x22mm / 28x55x19mm) lehetővé teszik a diszkrét elhelyezést.
Fontos megjegyezni, hogy a Home NVK SWITCH nem alkalmas védőérintkezős berendezések működtetésére. Tegyen a kényelemért és a modern technológiaért, válassza a Home NVK SWITCH rendszert!</t>
        </is>
      </c>
    </row>
    <row r="2433">
      <c r="A2433" s="3" t="inlineStr">
        <is>
          <t>NV 1K/BK</t>
        </is>
      </c>
      <c r="B2433" s="2" t="inlineStr">
        <is>
          <t>Home NV 1K/BK zsinórközi 1 pólusú kapcsoló, beltéri használatra, H03VVH2-F, 2X0,75 mm2 kábellel szerelhető, max. 4A, fekete</t>
        </is>
      </c>
      <c r="C2433" s="1" t="n">
        <v>489.0</v>
      </c>
      <c r="D2433" s="7" t="n">
        <f>HYPERLINK("https://www.somogyi.hu/product/home-nv-1k-bk-zsinorkozi-1-polusu-kapcsolo-belteri-hasznalatra-h03vvh2-f-2x0-75-mm2-kabellel-szerelheto-max-4a-fekete-nv-1k-bk-15706","https://www.somogyi.hu/product/home-nv-1k-bk-zsinorkozi-1-polusu-kapcsolo-belteri-hasznalatra-h03vvh2-f-2x0-75-mm2-kabellel-szerelheto-max-4a-fekete-nv-1k-bk-15706")</f>
        <v>0.0</v>
      </c>
      <c r="E2433" s="7" t="n">
        <f>HYPERLINK("https://www.somogyi.hu/data/img/product_main_images/small/15706.jpg","https://www.somogyi.hu/data/img/product_main_images/small/15706.jpg")</f>
        <v>0.0</v>
      </c>
      <c r="F2433" s="2" t="inlineStr">
        <is>
          <t>5999084937409</t>
        </is>
      </c>
      <c r="G2433" s="4" t="inlineStr">
        <is>
          <t>Az NV 1K/BK Zsinórközi 1 pólusú kapcsoló lámpatestekhez alkalmazható, melynek bekötését csak szakember végezheti. A fekete zsinórközi kapcsoló beltéri használatra alkalmas. H03VVH2-F, 2X0,75 mm2 kábellel szerelhető. 
A kapcsolóhoz a kábel nem tartozék.</t>
        </is>
      </c>
    </row>
    <row r="2434">
      <c r="A2434" s="3" t="inlineStr">
        <is>
          <t>NV 1K/WH</t>
        </is>
      </c>
      <c r="B2434" s="2" t="inlineStr">
        <is>
          <t>Home NV 1K/WH zsinórközi 1 pólusú kapcsoló, beltéri használatra, H03VVH2-F, 2X0,75 mm2 kábellel szerelhető, max. 4A, fehér</t>
        </is>
      </c>
      <c r="C2434" s="1" t="n">
        <v>489.0</v>
      </c>
      <c r="D2434" s="7" t="n">
        <f>HYPERLINK("https://www.somogyi.hu/product/home-nv-1k-wh-zsinorkozi-1-polusu-kapcsolo-belteri-hasznalatra-h03vvh2-f-2x0-75-mm2-kabellel-szerelheto-max-4a-feher-nv-1k-wh-15705","https://www.somogyi.hu/product/home-nv-1k-wh-zsinorkozi-1-polusu-kapcsolo-belteri-hasznalatra-h03vvh2-f-2x0-75-mm2-kabellel-szerelheto-max-4a-feher-nv-1k-wh-15705")</f>
        <v>0.0</v>
      </c>
      <c r="E2434" s="7" t="n">
        <f>HYPERLINK("https://www.somogyi.hu/data/img/product_main_images/small/15705.jpg","https://www.somogyi.hu/data/img/product_main_images/small/15705.jpg")</f>
        <v>0.0</v>
      </c>
      <c r="F2434" s="2" t="inlineStr">
        <is>
          <t>5999084937393</t>
        </is>
      </c>
      <c r="G2434" s="4" t="inlineStr">
        <is>
          <t>Az NV 1K/WH Zsinórközi 1 pólusú kapcsoló lámpatestekhez alkalmazható, melynek bekötését csak szakember végezheti. A fehér zsinórközi kapcsoló beltéri használatra alkalmas. H03VVH2-F, 2X0,75 mm2 kábellel szerelhető. 
A kapcsolóhoz a kábel nem tartozék.</t>
        </is>
      </c>
    </row>
    <row r="2435">
      <c r="A2435" s="3" t="inlineStr">
        <is>
          <t>22111</t>
        </is>
      </c>
      <c r="B2435" s="2" t="inlineStr">
        <is>
          <t>GAO 22111 földelt aljzat, kültéri IP44 kivitel, 230 V~ / 50 Hz / 16 A, fehér-füst</t>
        </is>
      </c>
      <c r="C2435" s="1" t="n">
        <v>1890.0</v>
      </c>
      <c r="D2435" s="7" t="n">
        <f>HYPERLINK("https://www.somogyi.hu/product/gao-22111-foldelt-aljzat-kulteri-ip44-kivitel-230-v-50-hz-16-a-feher-fust-22111-15307","https://www.somogyi.hu/product/gao-22111-foldelt-aljzat-kulteri-ip44-kivitel-230-v-50-hz-16-a-feher-fust-22111-15307")</f>
        <v>0.0</v>
      </c>
      <c r="E2435" s="7" t="n">
        <f>HYPERLINK("https://www.somogyi.hu/data/img/product_main_images/small/15307.jpg","https://www.somogyi.hu/data/img/product_main_images/small/15307.jpg")</f>
        <v>0.0</v>
      </c>
      <c r="F2435" s="2" t="inlineStr">
        <is>
          <t>4008297221111</t>
        </is>
      </c>
      <c r="G2435" s="4" t="inlineStr">
        <is>
          <t>A szerelhető földelt aljzat ideális kültéri használatra. IP 44 védelemmel és takaró fedéllel ellátott. Az aljzat 1 férőhelyes.</t>
        </is>
      </c>
    </row>
    <row r="2436">
      <c r="A2436" s="3" t="inlineStr">
        <is>
          <t>22121</t>
        </is>
      </c>
      <c r="B2436" s="2" t="inlineStr">
        <is>
          <t>GAO 22121 2 férőhelyes földelt aljzat, kültéri IP44 kivitel, 230 V~ / 50 Hz / 16 A, fehér-füst</t>
        </is>
      </c>
      <c r="C2436" s="1" t="n">
        <v>3090.0</v>
      </c>
      <c r="D2436" s="7" t="n">
        <f>HYPERLINK("https://www.somogyi.hu/product/gao-22121-2-ferohelyes-foldelt-aljzat-kulteri-ip44-kivitel-230-v-50-hz-16-a-feher-fust-22121-15308","https://www.somogyi.hu/product/gao-22121-2-ferohelyes-foldelt-aljzat-kulteri-ip44-kivitel-230-v-50-hz-16-a-feher-fust-22121-15308")</f>
        <v>0.0</v>
      </c>
      <c r="E2436" s="7" t="n">
        <f>HYPERLINK("https://www.somogyi.hu/data/img/product_main_images/small/15308.jpg","https://www.somogyi.hu/data/img/product_main_images/small/15308.jpg")</f>
        <v>0.0</v>
      </c>
      <c r="F2436" s="2" t="inlineStr">
        <is>
          <t>4008297221210</t>
        </is>
      </c>
      <c r="G2436" s="4" t="inlineStr">
        <is>
          <t>A szerelhető aljzat ideális kültéri használatra. IP 44 védelemmel és takaró fedéllel ellátott. Az aljzat 2 férőhelyes.</t>
        </is>
      </c>
    </row>
    <row r="2437">
      <c r="A2437" s="3" t="inlineStr">
        <is>
          <t>22131</t>
        </is>
      </c>
      <c r="B2437" s="2" t="inlineStr">
        <is>
          <t>GAO 22131 3 férőhelyes földelt aljzat, kültéri IP44 kivitel, 230 V~ / 50 Hz / 16 A, fehér-füst</t>
        </is>
      </c>
      <c r="C2437" s="1" t="n">
        <v>4290.0</v>
      </c>
      <c r="D2437" s="7" t="n">
        <f>HYPERLINK("https://www.somogyi.hu/product/gao-22131-3-ferohelyes-foldelt-aljzat-kulteri-ip44-kivitel-230-v-50-hz-16-a-feher-fust-22131-15309","https://www.somogyi.hu/product/gao-22131-3-ferohelyes-foldelt-aljzat-kulteri-ip44-kivitel-230-v-50-hz-16-a-feher-fust-22131-15309")</f>
        <v>0.0</v>
      </c>
      <c r="E2437" s="7" t="n">
        <f>HYPERLINK("https://www.somogyi.hu/data/img/product_main_images/small/15309.jpg","https://www.somogyi.hu/data/img/product_main_images/small/15309.jpg")</f>
        <v>0.0</v>
      </c>
      <c r="F2437" s="2" t="inlineStr">
        <is>
          <t>4008297221319</t>
        </is>
      </c>
      <c r="G2437" s="4" t="inlineStr">
        <is>
          <t>A szerelhető aljzat ideális kültéri használatra. IP 44 védelemmel és takaró fedéllel ellátott. Az aljzat 3 férőhelyes.</t>
        </is>
      </c>
    </row>
    <row r="2438">
      <c r="A2438" s="3" t="inlineStr">
        <is>
          <t>22041</t>
        </is>
      </c>
      <c r="B2438" s="2" t="inlineStr">
        <is>
          <t>GAO 22041 váltókapcsoló, kültéri IP44 kivitel, 230 V~ / 50 Hz / 10 A, fehér</t>
        </is>
      </c>
      <c r="C2438" s="1" t="n">
        <v>1690.0</v>
      </c>
      <c r="D2438" s="7" t="n">
        <f>HYPERLINK("https://www.somogyi.hu/product/gao-22041-valtokapcsolo-kulteri-ip44-kivitel-230-v-50-hz-10-a-feher-22041-15313","https://www.somogyi.hu/product/gao-22041-valtokapcsolo-kulteri-ip44-kivitel-230-v-50-hz-10-a-feher-22041-15313")</f>
        <v>0.0</v>
      </c>
      <c r="E2438" s="7" t="n">
        <f>HYPERLINK("https://www.somogyi.hu/data/img/product_main_images/small/15313.jpg","https://www.somogyi.hu/data/img/product_main_images/small/15313.jpg")</f>
        <v>0.0</v>
      </c>
      <c r="F2438" s="2" t="inlineStr">
        <is>
          <t>4008297220411</t>
        </is>
      </c>
      <c r="G2438" s="4" t="inlineStr">
        <is>
          <t>A váltókapcsoló ideális kültéri használatra az IP 44 védelem által. A fehér színű váltó villanykapcsoló egy lámpa (fogyasztó) két helyről történő kapcsolására alkalmas.</t>
        </is>
      </c>
    </row>
    <row r="2439">
      <c r="A2439" s="3" t="inlineStr">
        <is>
          <t>22031</t>
        </is>
      </c>
      <c r="B2439" s="2" t="inlineStr">
        <is>
          <t>GAO 22031 csillárkapcsoló, kültéri IP44 kivitel, 230 V~ / 50 Hz / 10 A, fehér</t>
        </is>
      </c>
      <c r="C2439" s="1" t="n">
        <v>1850.0</v>
      </c>
      <c r="D2439" s="7" t="n">
        <f>HYPERLINK("https://www.somogyi.hu/product/gao-22031-csillarkapcsolo-kulteri-ip44-kivitel-230-v-50-hz-10-a-feher-22031-15314","https://www.somogyi.hu/product/gao-22031-csillarkapcsolo-kulteri-ip44-kivitel-230-v-50-hz-10-a-feher-22031-15314")</f>
        <v>0.0</v>
      </c>
      <c r="E2439" s="7" t="n">
        <f>HYPERLINK("https://www.somogyi.hu/data/img/product_main_images/small/15314.jpg","https://www.somogyi.hu/data/img/product_main_images/small/15314.jpg")</f>
        <v>0.0</v>
      </c>
      <c r="F2439" s="2" t="inlineStr">
        <is>
          <t>4008297220312</t>
        </is>
      </c>
      <c r="G2439" s="4" t="inlineStr">
        <is>
          <t>A csillárkapcsoló ideális kültéri használatra az IP 44 védelem által. A fehér színű csillárkapcsolón dupla billenő kapcsoló található.</t>
        </is>
      </c>
    </row>
    <row r="2440">
      <c r="A2440" s="3" t="inlineStr">
        <is>
          <t>22081</t>
        </is>
      </c>
      <c r="B2440" s="2" t="inlineStr">
        <is>
          <t>GAO 22081 1 pólusú kapcsoló, kültéri IP44 kivitel, 230 V~ / 50 Hz / 10 A, fehér</t>
        </is>
      </c>
      <c r="C2440" s="1" t="n">
        <v>1690.0</v>
      </c>
      <c r="D2440" s="7" t="n">
        <f>HYPERLINK("https://www.somogyi.hu/product/gao-22081-1-polusu-kapcsolo-kulteri-ip44-kivitel-230-v-50-hz-10-a-feher-22081-15316","https://www.somogyi.hu/product/gao-22081-1-polusu-kapcsolo-kulteri-ip44-kivitel-230-v-50-hz-10-a-feher-22081-15316")</f>
        <v>0.0</v>
      </c>
      <c r="E2440" s="7" t="n">
        <f>HYPERLINK("https://www.somogyi.hu/data/img/product_main_images/small/15316.jpg","https://www.somogyi.hu/data/img/product_main_images/small/15316.jpg")</f>
        <v>0.0</v>
      </c>
      <c r="F2440" s="2" t="inlineStr">
        <is>
          <t>4008297220817</t>
        </is>
      </c>
      <c r="G2440" s="4" t="inlineStr">
        <is>
          <t>Az egypólusú kapcsoló ideális kültéri használatra az IP 44 védelem által. A fehér színű egypólusú villanykapcsoló egy lámpa (fogyasztó) egy  helyről történő kapcsolására alkalmas.</t>
        </is>
      </c>
    </row>
    <row r="2441">
      <c r="A2441" s="3" t="inlineStr">
        <is>
          <t>22061</t>
        </is>
      </c>
      <c r="B2441" s="2" t="inlineStr">
        <is>
          <t>GAO 22061 nyomókapcsoló csengő jellel, kültéri IP44 kivitel, 230 V~ / 50 Hz / 10 A, fehér</t>
        </is>
      </c>
      <c r="C2441" s="1" t="n">
        <v>1690.0</v>
      </c>
      <c r="D2441" s="7" t="n">
        <f>HYPERLINK("https://www.somogyi.hu/product/gao-22061-nyomokapcsolo-csengo-jellel-kulteri-ip44-kivitel-230-v-50-hz-10-a-feher-22061-15317","https://www.somogyi.hu/product/gao-22061-nyomokapcsolo-csengo-jellel-kulteri-ip44-kivitel-230-v-50-hz-10-a-feher-22061-15317")</f>
        <v>0.0</v>
      </c>
      <c r="E2441" s="7" t="n">
        <f>HYPERLINK("https://www.somogyi.hu/data/img/product_main_images/small/15317.jpg","https://www.somogyi.hu/data/img/product_main_images/small/15317.jpg")</f>
        <v>0.0</v>
      </c>
      <c r="F2441" s="2" t="inlineStr">
        <is>
          <t>4008297220619</t>
        </is>
      </c>
      <c r="G2441" s="4" t="inlineStr">
        <is>
          <t>A nyomókapcsoló ideális kültéri használatra az IP 44 védelem által. A fehér színű nyomókapcsolón csengő jelzés található.</t>
        </is>
      </c>
    </row>
    <row r="2442">
      <c r="A2442" s="3" t="inlineStr">
        <is>
          <t>0511476777</t>
        </is>
      </c>
      <c r="B2442" s="2" t="inlineStr">
        <is>
          <t>GAO 0511476777 Business Line IP20 váltókapcsoló, beltéri, 230 V~ /50 Hz / 10 A, barna</t>
        </is>
      </c>
      <c r="C2442" s="1" t="n">
        <v>1090.0</v>
      </c>
      <c r="D2442" s="7" t="n">
        <f>HYPERLINK("https://www.somogyi.hu/product/gao-0511476777-business-line-ip20-valtokapcsolo-belteri-230-v-50-hz-10-a-barna-0511476777-17853","https://www.somogyi.hu/product/gao-0511476777-business-line-ip20-valtokapcsolo-belteri-230-v-50-hz-10-a-barna-0511476777-17853")</f>
        <v>0.0</v>
      </c>
      <c r="E2442" s="7" t="n">
        <f>HYPERLINK("https://www.somogyi.hu/data/img/product_main_images/small/17853.jpg","https://www.somogyi.hu/data/img/product_main_images/small/17853.jpg")</f>
        <v>0.0</v>
      </c>
      <c r="F2442" s="2" t="inlineStr">
        <is>
          <t>4008297114765</t>
        </is>
      </c>
      <c r="G2442" s="4" t="inlineStr">
        <is>
          <t xml:space="preserve"> • IP védettségi fokozat: IP20 
 • falon kívüli: falon kívüli, beltéri kivitel 
 • névleges feszültség: 230 V~ / 50 Hz 
 • névleges áram: 10 A 
 • váltókapcsoló: igen 
 • szín: barna</t>
        </is>
      </c>
    </row>
    <row r="2443">
      <c r="A2443" s="6" t="inlineStr">
        <is>
          <t xml:space="preserve">   Villamosság / Szerelvény</t>
        </is>
      </c>
      <c r="B2443" s="6" t="inlineStr">
        <is>
          <t/>
        </is>
      </c>
      <c r="C2443" s="6" t="inlineStr">
        <is>
          <t/>
        </is>
      </c>
      <c r="D2443" s="6" t="inlineStr">
        <is>
          <t/>
        </is>
      </c>
      <c r="E2443" s="6" t="inlineStr">
        <is>
          <t/>
        </is>
      </c>
      <c r="F2443" s="6" t="inlineStr">
        <is>
          <t/>
        </is>
      </c>
      <c r="G2443" s="6" t="inlineStr">
        <is>
          <t/>
        </is>
      </c>
    </row>
    <row r="2444">
      <c r="A2444" s="3" t="inlineStr">
        <is>
          <t>0716S</t>
        </is>
      </c>
      <c r="B2444" s="2" t="inlineStr">
        <is>
          <t>GAO 0716S E27 foglalat, 60 W, fehér</t>
        </is>
      </c>
      <c r="C2444" s="1" t="n">
        <v>449.0</v>
      </c>
      <c r="D2444" s="7" t="n">
        <f>HYPERLINK("https://www.somogyi.hu/product/gao-0716s-e27-foglalat-60-w-feher-0716s-10029","https://www.somogyi.hu/product/gao-0716s-e27-foglalat-60-w-feher-0716s-10029")</f>
        <v>0.0</v>
      </c>
      <c r="E2444" s="7" t="n">
        <f>HYPERLINK("https://www.somogyi.hu/data/img/product_main_images/small/10029.jpg","https://www.somogyi.hu/data/img/product_main_images/small/10029.jpg")</f>
        <v>0.0</v>
      </c>
      <c r="F2444" s="2" t="inlineStr">
        <is>
          <t>4004282407164</t>
        </is>
      </c>
      <c r="G2444" s="4" t="inlineStr">
        <is>
          <t>A villanyszereléshez csakis a legmegbízhatóbb termékeket keresse. A 0716H egy masszív kialakítású fehér színű E27-es foglalat. Felhasználhatósága: 60 W.
Válassza a minőségi termékeket és rendeljen webáruházunkból!</t>
        </is>
      </c>
    </row>
    <row r="2445">
      <c r="A2445" s="3" t="inlineStr">
        <is>
          <t>5221H</t>
        </is>
      </c>
      <c r="B2445" s="2" t="inlineStr">
        <is>
          <t>GAO 5221H IP54 kötődoboz, 85 x 85 mm, falon kívüli, vízmentes, szürke</t>
        </is>
      </c>
      <c r="C2445" s="1" t="n">
        <v>349.0</v>
      </c>
      <c r="D2445" s="7" t="n">
        <f>HYPERLINK("https://www.somogyi.hu/product/gao-5221h-ip54-kotodoboz-85-x-85-mm-falon-kivuli-vizmentes-szurke-5221h-10024","https://www.somogyi.hu/product/gao-5221h-ip54-kotodoboz-85-x-85-mm-falon-kivuli-vizmentes-szurke-5221h-10024")</f>
        <v>0.0</v>
      </c>
      <c r="E2445" s="7" t="n">
        <f>HYPERLINK("https://www.somogyi.hu/data/img/product_main_images/small/10024.jpg","https://www.somogyi.hu/data/img/product_main_images/small/10024.jpg")</f>
        <v>0.0</v>
      </c>
      <c r="F2445" s="2" t="inlineStr">
        <is>
          <t>4004282452218</t>
        </is>
      </c>
      <c r="G2445" s="4" t="inlineStr">
        <is>
          <t>Ha praktikus és egyben masszív kialakítású kötődobozt keres, akkor garantáltan a legjobb helyen jár!
Az 5221-es szürke színű, falon kívül elhelyezhető kötődoboz 85 x 85 mm-es mérettel rendelkezik. 
A termék IP54-es kivitelben készült, ennek köszönhetően vízmentesen zár. Válassza a minőségi termékeket és rendeljen webáruházunkból!</t>
        </is>
      </c>
    </row>
    <row r="2446">
      <c r="A2446" s="3" t="inlineStr">
        <is>
          <t>5232H</t>
        </is>
      </c>
      <c r="B2446" s="2" t="inlineStr">
        <is>
          <t>GAO 5232H IP54 kötődoboz, 75 x 75 mm, falon kívüli, vízmentes, szürke</t>
        </is>
      </c>
      <c r="C2446" s="1" t="n">
        <v>309.0</v>
      </c>
      <c r="D2446" s="7" t="n">
        <f>HYPERLINK("https://www.somogyi.hu/product/gao-5232h-ip54-kotodoboz-75-x-75-mm-falon-kivuli-vizmentes-szurke-5232h-10023","https://www.somogyi.hu/product/gao-5232h-ip54-kotodoboz-75-x-75-mm-falon-kivuli-vizmentes-szurke-5232h-10023")</f>
        <v>0.0</v>
      </c>
      <c r="E2446" s="7" t="n">
        <f>HYPERLINK("https://www.somogyi.hu/data/img/product_main_images/small/10023.jpg","https://www.somogyi.hu/data/img/product_main_images/small/10023.jpg")</f>
        <v>0.0</v>
      </c>
      <c r="F2446" s="2" t="inlineStr">
        <is>
          <t>4004282452324</t>
        </is>
      </c>
      <c r="G2446" s="4" t="inlineStr">
        <is>
          <t>Ha praktikus és egyben masszív kialakítású kötődobozt keres, akkor garantáltan a legjobb helyen jár!
Az 5232-es szürke színű, falon kívül elhelyezhető kötődoboz 75 x 75 mm-es mérettel rendelkezik. 
A termék IP54-es kivitelben készült, ennek köszönhetően vízmentesen zár. Válassza a minőségi termékeket és rendeljen webáruházunkból!</t>
        </is>
      </c>
    </row>
    <row r="2447">
      <c r="A2447" s="3" t="inlineStr">
        <is>
          <t>5229H</t>
        </is>
      </c>
      <c r="B2447" s="2" t="inlineStr">
        <is>
          <t>GAO 5229H IP54 kötődoboz, 75 x 45 mm, falon kívüli, vízmentes, szürke</t>
        </is>
      </c>
      <c r="C2447" s="1" t="n">
        <v>239.0</v>
      </c>
      <c r="D2447" s="7" t="n">
        <f>HYPERLINK("https://www.somogyi.hu/product/gao-5229h-ip54-kotodoboz-75-x-45-mm-falon-kivuli-vizmentes-szurke-5229h-10022","https://www.somogyi.hu/product/gao-5229h-ip54-kotodoboz-75-x-45-mm-falon-kivuli-vizmentes-szurke-5229h-10022")</f>
        <v>0.0</v>
      </c>
      <c r="E2447" s="7" t="n">
        <f>HYPERLINK("https://www.somogyi.hu/data/img/product_main_images/small/10022.jpg","https://www.somogyi.hu/data/img/product_main_images/small/10022.jpg")</f>
        <v>0.0</v>
      </c>
      <c r="F2447" s="2" t="inlineStr">
        <is>
          <t>4004282452294</t>
        </is>
      </c>
      <c r="G2447" s="4" t="inlineStr">
        <is>
          <t>Ha praktikus és egyben masszív kialakítású kötődobozt keres, akkor garantáltan a legjobb helyen jár!
Az 5229-es szürke színű, falon kívül elhelyezhető kötődoboz 75 x 45 mm-es mérettel rendelkezik. 
A termék IP54-es kivitelben készült, ennek köszönhetően vízmentesen zár. Válassza a minőségi termékeket és rendeljen webáruházunkból!</t>
        </is>
      </c>
    </row>
    <row r="2448">
      <c r="A2448" s="3" t="inlineStr">
        <is>
          <t>5233H</t>
        </is>
      </c>
      <c r="B2448" s="2" t="inlineStr">
        <is>
          <t>GAO 5233H IP54 kötődoboz, 100 x 100 mm, falon kívüli, vízmentes, szürke</t>
        </is>
      </c>
      <c r="C2448" s="1" t="n">
        <v>409.0</v>
      </c>
      <c r="D2448" s="7" t="n">
        <f>HYPERLINK("https://www.somogyi.hu/product/gao-5233h-ip54-kotodoboz-100-x-100-mm-falon-kivuli-vizmentes-szurke-5233h-10025","https://www.somogyi.hu/product/gao-5233h-ip54-kotodoboz-100-x-100-mm-falon-kivuli-vizmentes-szurke-5233h-10025")</f>
        <v>0.0</v>
      </c>
      <c r="E2448" s="7" t="n">
        <f>HYPERLINK("https://www.somogyi.hu/data/img/product_main_images/small/10025.jpg","https://www.somogyi.hu/data/img/product_main_images/small/10025.jpg")</f>
        <v>0.0</v>
      </c>
      <c r="F2448" s="2" t="inlineStr">
        <is>
          <t>4004282452331</t>
        </is>
      </c>
      <c r="G2448" s="4" t="inlineStr">
        <is>
          <t>Ha praktikus és egyben masszív kialakítású kötődoboz vásárlását tervezi, akkor garantáltan a legjobb helyen jár!
Az 5233-as szürke színű, falon kívül elhelyezhető kötődoboz 100 x 100 mm-es mérettel rendelkezik. 
A termék IP54-es kivitelben készült, ennek köszönhetően vízmentesen zár. Válassza a minőségi termékeket és rendeljen webáruházunkból!</t>
        </is>
      </c>
    </row>
    <row r="2449">
      <c r="A2449" s="3" t="inlineStr">
        <is>
          <t>0708S</t>
        </is>
      </c>
      <c r="B2449" s="2" t="inlineStr">
        <is>
          <t>GAO 0708S E27 foglalat, 60 W, fekete</t>
        </is>
      </c>
      <c r="C2449" s="1" t="n">
        <v>479.0</v>
      </c>
      <c r="D2449" s="7" t="n">
        <f>HYPERLINK("https://www.somogyi.hu/product/gao-0708s-e27-foglalat-60-w-fekete-0708s-10028","https://www.somogyi.hu/product/gao-0708s-e27-foglalat-60-w-fekete-0708s-10028")</f>
        <v>0.0</v>
      </c>
      <c r="E2449" s="7" t="n">
        <f>HYPERLINK("https://www.somogyi.hu/data/img/product_main_images/small/10028.jpg","https://www.somogyi.hu/data/img/product_main_images/small/10028.jpg")</f>
        <v>0.0</v>
      </c>
      <c r="F2449" s="2" t="inlineStr">
        <is>
          <t>4004282407089</t>
        </is>
      </c>
      <c r="G2449" s="4" t="inlineStr">
        <is>
          <t>A villanyszereléshez csakis a legmegbízhatóbb termékeket keresse. A 0708H egy masszív kialakítású fekete színű E27-es foglalat. Felhasználhatósága: 60 W.
Válassza a minőségi termékeket és rendeljen webáruházunkból!</t>
        </is>
      </c>
    </row>
    <row r="2450">
      <c r="A2450" s="6" t="inlineStr">
        <is>
          <t xml:space="preserve">   Villamosság / Almérő</t>
        </is>
      </c>
      <c r="B2450" s="6" t="inlineStr">
        <is>
          <t/>
        </is>
      </c>
      <c r="C2450" s="6" t="inlineStr">
        <is>
          <t/>
        </is>
      </c>
      <c r="D2450" s="6" t="inlineStr">
        <is>
          <t/>
        </is>
      </c>
      <c r="E2450" s="6" t="inlineStr">
        <is>
          <t/>
        </is>
      </c>
      <c r="F2450" s="6" t="inlineStr">
        <is>
          <t/>
        </is>
      </c>
      <c r="G2450" s="6" t="inlineStr">
        <is>
          <t/>
        </is>
      </c>
    </row>
    <row r="2451">
      <c r="A2451" s="3" t="inlineStr">
        <is>
          <t>5031H</t>
        </is>
      </c>
      <c r="B2451" s="2" t="inlineStr">
        <is>
          <t xml:space="preserve">GAO 1 fázisú felújított almérő, 230-250 V, 10/30 A, számlázási célra nem alkalmas, fekete, </t>
        </is>
      </c>
      <c r="C2451" s="1" t="n">
        <v>8090.0</v>
      </c>
      <c r="D2451" s="7" t="n">
        <f>HYPERLINK("https://www.somogyi.hu/product/gao-1-fazisu-felujitott-almero-230-250-v-10-30-a-szamlazasi-celra-nem-alkalmas-fekete-5031h-10107","https://www.somogyi.hu/product/gao-1-fazisu-felujitott-almero-230-250-v-10-30-a-szamlazasi-celra-nem-alkalmas-fekete-5031h-10107")</f>
        <v>0.0</v>
      </c>
      <c r="E2451" s="7" t="n">
        <f>HYPERLINK("https://www.somogyi.hu/data/img/product_main_images/small/10107.jpg","https://www.somogyi.hu/data/img/product_main_images/small/10107.jpg")</f>
        <v>0.0</v>
      </c>
      <c r="F2451" s="2" t="inlineStr">
        <is>
          <t>4004282450313</t>
        </is>
      </c>
      <c r="G2451" s="4" t="inlineStr">
        <is>
          <t>A villanyszereléshez csakis a legmegbízhatóbb termékeket keresse. Az 5031H masszív kialakítású fekete színű 1 fázisú felújított almérő, amellyel garantáltan hosszú távra lehet tervezni. 
Válassza a minőségi termékeket és rendeljen webáruházunkból!</t>
        </is>
      </c>
    </row>
    <row r="2452">
      <c r="A2452" s="6" t="inlineStr">
        <is>
          <t xml:space="preserve">   Villamosság / Szünetmentes táp, feszültség stabilizátor</t>
        </is>
      </c>
      <c r="B2452" s="6" t="inlineStr">
        <is>
          <t/>
        </is>
      </c>
      <c r="C2452" s="6" t="inlineStr">
        <is>
          <t/>
        </is>
      </c>
      <c r="D2452" s="6" t="inlineStr">
        <is>
          <t/>
        </is>
      </c>
      <c r="E2452" s="6" t="inlineStr">
        <is>
          <t/>
        </is>
      </c>
      <c r="F2452" s="6" t="inlineStr">
        <is>
          <t/>
        </is>
      </c>
      <c r="G2452" s="6" t="inlineStr">
        <is>
          <t/>
        </is>
      </c>
    </row>
    <row r="2453">
      <c r="A2453" s="3" t="inlineStr">
        <is>
          <t>UPS 1000</t>
        </is>
      </c>
      <c r="B2453" s="2" t="inlineStr">
        <is>
          <t>Home UPS 1000 szünetmentes táp- és feszültségstabilizátor, 1000 VA látszólagos teljesítmény, 140 – 275 V ~ bemenő hálózati feszültséghez</t>
        </is>
      </c>
      <c r="C2453" s="1" t="n">
        <v>61990.0</v>
      </c>
      <c r="D2453" s="7" t="n">
        <f>HYPERLINK("https://www.somogyi.hu/product/home-ups-1000-szunetmentes-tap-es-feszultsegstabilizator-1000-va-latszolagos-teljesitmeny-140-275-v-bemeno-halozati-feszultseghez-ups-1000-16912","https://www.somogyi.hu/product/home-ups-1000-szunetmentes-tap-es-feszultsegstabilizator-1000-va-latszolagos-teljesitmeny-140-275-v-bemeno-halozati-feszultseghez-ups-1000-16912")</f>
        <v>0.0</v>
      </c>
      <c r="E2453" s="7" t="n">
        <f>HYPERLINK("https://www.somogyi.hu/data/img/product_main_images/small/16912.jpg","https://www.somogyi.hu/data/img/product_main_images/small/16912.jpg")</f>
        <v>0.0</v>
      </c>
      <c r="F2453" s="2" t="inlineStr">
        <is>
          <t>5999084949440</t>
        </is>
      </c>
      <c r="G2453" s="4" t="inlineStr">
        <is>
          <t>Gondolkodott már azon, hogyan biztosíthatná elektromos készülékeit a hálózati feszültségingadozások és áramkimaradások ellen? A Home UPS 1000 szünetmentes táp- és feszültségstabilizátor ideális megoldást kínál ezekre a problémákra.
A készülék feszültségstabilizátor funkcióval rendelkezik, ami 140 – 275 V ~ bemenő hálózati feszültséghez igazodik. A 1000 VA látszólagos teljesítmény és 700 W hatásos teljesítmény biztosítja, hogy elektromos eszközei stabil és megbízható áramellátást kapjanak. Az inverter és UPS szünetmentes tápfunkció lehetővé teszi, hogy csatlakoztatott 12 V akkumulátor segítségével folyamatosan működjenek az eszközei áramszünet esetén is.
A beépített akkumulátortöltő 10 A töltőárammal rendelkezik, és javasolt használni legalább 40 Ah kapacitású akkumulátort a hatékony működés érdekében. A "Pure Sine" technológia garantálja, hogy a hálózatival megegyező, tiszta szinuszos feszültséget állítson elő, így a csatlakoztatott eszközök optimálisan működnek.
A két földelt GS csatlakozóaljzat lehetővé teszi több eszköz egyidejű csatlakoztatását. A hálózati csatlakozókábel hossza 78 cm, míg az akkumulátor csatlakozókábelek hossza 72 cm, így könnyen elhelyezhető a kívánt helyen. Méretei (14,5x17x34 cm) és súlya (7,4 kg) ideálisak otthoni vagy kis irodai használatra.
Válassza a Home UPS 1000 szünetmentes táp- és feszültségstabilizátort, és élvezze a folyamatos, stabil és megbízható áramellátást, amely védelmet nyújt a hálózati ingadozások és áramkimaradások ellen. Rendelje meg most, és biztosítsa elektromos eszközeit a legjobb védelemmel!</t>
        </is>
      </c>
    </row>
    <row r="2454">
      <c r="A2454" s="6" t="inlineStr">
        <is>
          <t xml:space="preserve">   Villamosság / Elosztó</t>
        </is>
      </c>
      <c r="B2454" s="6" t="inlineStr">
        <is>
          <t/>
        </is>
      </c>
      <c r="C2454" s="6" t="inlineStr">
        <is>
          <t/>
        </is>
      </c>
      <c r="D2454" s="6" t="inlineStr">
        <is>
          <t/>
        </is>
      </c>
      <c r="E2454" s="6" t="inlineStr">
        <is>
          <t/>
        </is>
      </c>
      <c r="F2454" s="6" t="inlineStr">
        <is>
          <t/>
        </is>
      </c>
      <c r="G2454" s="6" t="inlineStr">
        <is>
          <t/>
        </is>
      </c>
    </row>
    <row r="2455">
      <c r="A2455" s="3" t="inlineStr">
        <is>
          <t>NV 06TK-5/WH/1,5</t>
        </is>
      </c>
      <c r="B2455" s="2" t="inlineStr">
        <is>
          <t>Home NV 06TK-5/WH/1,5, talpkapcsolós elosztó világító kapcsolóval, 5 m, H05VV-F 3G1,5 mm2 kábel, 6 aljzat gyermekvédelemmel, max. 3500W, fehér</t>
        </is>
      </c>
      <c r="C2455" s="1" t="n">
        <v>5690.0</v>
      </c>
      <c r="D2455" s="7" t="n">
        <f>HYPERLINK("https://www.somogyi.hu/product/home-nv-06tk-5-wh-1-5-talpkapcsolos-eloszto-vilagito-kapcsoloval-5-m-h05vv-f-3g1-5-mm2-kabel-6-aljzat-gyermekvedelemmel-max-3500w-feher-nv-06tk-5-wh-1-5-17160","https://www.somogyi.hu/product/home-nv-06tk-5-wh-1-5-talpkapcsolos-eloszto-vilagito-kapcsoloval-5-m-h05vv-f-3g1-5-mm2-kabel-6-aljzat-gyermekvedelemmel-max-3500w-feher-nv-06tk-5-wh-1-5-17160")</f>
        <v>0.0</v>
      </c>
      <c r="E2455" s="7" t="n">
        <f>HYPERLINK("https://www.somogyi.hu/data/img/product_main_images/small/17160.jpg","https://www.somogyi.hu/data/img/product_main_images/small/17160.jpg")</f>
        <v>0.0</v>
      </c>
      <c r="F2455" s="2" t="inlineStr">
        <is>
          <t>5999084951924</t>
        </is>
      </c>
      <c r="G2455" s="4" t="inlineStr">
        <is>
          <t>NV 06TK-5/WH/1,5 típusú talpkapcsolós elosztó világító kapcsolóval van ellátva. A hat aljzathoz 5 méteres kábel tartozik. A termék előnye, hogy a hatodik aljzat külön található, hogy kényelmesen elférjen pl. egy adapter. Válassza a minőségi termékeket és rendeljen webáruházunkból!</t>
        </is>
      </c>
    </row>
    <row r="2456">
      <c r="A2456" s="3" t="inlineStr">
        <is>
          <t>NVE 3/USB</t>
        </is>
      </c>
      <c r="B2456" s="2" t="inlineStr">
        <is>
          <t>Home NVE 3/USB süllyesztett elosztó USB töltőaljzatokkal, 1,4 m, 3 földelt aljzat gyermekvédelemmel, asztalba, munkalapba építhető, süllyeszthető, max. 3680 W</t>
        </is>
      </c>
      <c r="C2456" s="1" t="n">
        <v>8690.0</v>
      </c>
      <c r="D2456" s="7" t="n">
        <f>HYPERLINK("https://www.somogyi.hu/product/home-nve-3-usb-sullyesztett-eloszto-usb-toltoaljzatokkal-1-4-m-3-foldelt-aljzat-gyermekvedelemmel-asztalba-munkalapba-epitheto-sullyesztheto-max-3680-w-nve-3-usb-17551","https://www.somogyi.hu/product/home-nve-3-usb-sullyesztett-eloszto-usb-toltoaljzatokkal-1-4-m-3-foldelt-aljzat-gyermekvedelemmel-asztalba-munkalapba-epitheto-sullyesztheto-max-3680-w-nve-3-usb-17551")</f>
        <v>0.0</v>
      </c>
      <c r="E2456" s="7" t="n">
        <f>HYPERLINK("https://www.somogyi.hu/data/img/product_main_images/small/17551.jpg","https://www.somogyi.hu/data/img/product_main_images/small/17551.jpg")</f>
        <v>0.0</v>
      </c>
      <c r="F2456" s="2" t="inlineStr">
        <is>
          <t>5999084955731</t>
        </is>
      </c>
      <c r="G2456" s="4" t="inlineStr">
        <is>
          <t>Az NVE 3/USB Süllyesztett elosztó 3 db földelt aljzattal és 2 db USB töltőaljzattal ellátott, amely gyermekvédelemmel felszerelt. A modern konyhák, irodák elengedhetetlen eszköze, mivel asztalba, munkalapba építhető, süllyeszthető. 
A kábel hossza 1,4 m.
Ha nem kívánja használni az elosztót csak nyomja vissza a munkalapba, így nem koszolódik és letisztult képet mutat az otthonában vagy az irodában.</t>
        </is>
      </c>
    </row>
    <row r="2457">
      <c r="A2457" s="3" t="inlineStr">
        <is>
          <t>NV 18/WH</t>
        </is>
      </c>
      <c r="B2457" s="2" t="inlineStr">
        <is>
          <t>Home NV 18/WH hálózati elosztó, 1,5 m, H05VV-F 3G1,0 mm2 kábel, IP 20 kivitel, 4 védőérintkezős és 4 euro aljzat, max. 3500W, fehér</t>
        </is>
      </c>
      <c r="C2457" s="1" t="n">
        <v>2090.0</v>
      </c>
      <c r="D2457" s="7" t="n">
        <f>HYPERLINK("https://www.somogyi.hu/product/home-nv-18-wh-halozati-eloszto-1-5-m-h05vv-f-3g1-0-mm2-kabel-ip-20-kivitel-4-vedoerintkezos-es-4-euro-aljzat-max-3500w-feher-nv-18-wh-2863","https://www.somogyi.hu/product/home-nv-18-wh-halozati-eloszto-1-5-m-h05vv-f-3g1-0-mm2-kabel-ip-20-kivitel-4-vedoerintkezos-es-4-euro-aljzat-max-3500w-feher-nv-18-wh-2863")</f>
        <v>0.0</v>
      </c>
      <c r="E2457" s="7" t="n">
        <f>HYPERLINK("https://www.somogyi.hu/data/img/product_main_images/small/02863.jpg","https://www.somogyi.hu/data/img/product_main_images/small/02863.jpg")</f>
        <v>0.0</v>
      </c>
      <c r="F2457" s="2" t="inlineStr">
        <is>
          <t>5998312731871</t>
        </is>
      </c>
      <c r="G2457" s="4" t="inlineStr">
        <is>
          <t>Az NV 18/WH Hálózati elosztó fehér színű, 4 db védőérintkezős aljzattal és 4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458">
      <c r="A2458" s="3" t="inlineStr">
        <is>
          <t>NV 4E-3/WH</t>
        </is>
      </c>
      <c r="B2458" s="2" t="inlineStr">
        <is>
          <t>Home NV 4E-3/WH EURO hálózati elosztó, 3 m, H05VVH2-F 2 x 0,75 mm2, 4 védőérintkezős EURO aljzat, max. 2300 W, fehér</t>
        </is>
      </c>
      <c r="C2458" s="1" t="n">
        <v>2190.0</v>
      </c>
      <c r="D2458" s="7" t="n">
        <f>HYPERLINK("https://www.somogyi.hu/product/home-nv-4e-3-wh-euro-halozati-eloszto-3-m-h05vvh2-f-2-x-0-75-mm2-4-vedoerintkezos-euro-aljzat-max-2300-w-feher-nv-4e-3-wh-17616","https://www.somogyi.hu/product/home-nv-4e-3-wh-euro-halozati-eloszto-3-m-h05vvh2-f-2-x-0-75-mm2-4-vedoerintkezos-euro-aljzat-max-2300-w-feher-nv-4e-3-wh-17616")</f>
        <v>0.0</v>
      </c>
      <c r="E2458" s="7" t="n">
        <f>HYPERLINK("https://www.somogyi.hu/data/img/product_main_images/small/17616.jpg","https://www.somogyi.hu/data/img/product_main_images/small/17616.jpg")</f>
        <v>0.0</v>
      </c>
      <c r="F2458" s="2" t="inlineStr">
        <is>
          <t>5999084956387</t>
        </is>
      </c>
      <c r="G2458" s="4" t="inlineStr">
        <is>
          <t>Egy elosztó sosem elég. Minden háztartásban szükség van több megbízható hosszabbítóra, hogy a különböző felhasználási területeket ki lehessen jól szolgálni. NV 4E-3/WH 4 db gyermekvédelemmel ellátott EURO aljazot foglal magában. A fehér színű elosztó vezetéke 3 méter hosszú.</t>
        </is>
      </c>
    </row>
    <row r="2459">
      <c r="A2459" s="3" t="inlineStr">
        <is>
          <t>NV 4E-5/WH</t>
        </is>
      </c>
      <c r="B2459" s="2" t="inlineStr">
        <is>
          <t>Home NV 4E-5/WH EURO hálózati elosztó, 5 m, H05VVH2-F 2 x 0,75 mm2, 4 védőérintkezős EURO aljzat, max. 2300 W, fehér</t>
        </is>
      </c>
      <c r="C2459" s="1" t="n">
        <v>2690.0</v>
      </c>
      <c r="D2459" s="7" t="n">
        <f>HYPERLINK("https://www.somogyi.hu/product/home-nv-4e-5-wh-euro-halozati-eloszto-5-m-h05vvh2-f-2-x-0-75-mm2-4-vedoerintkezos-euro-aljzat-max-2300-w-feher-nv-4e-5-wh-17617","https://www.somogyi.hu/product/home-nv-4e-5-wh-euro-halozati-eloszto-5-m-h05vvh2-f-2-x-0-75-mm2-4-vedoerintkezos-euro-aljzat-max-2300-w-feher-nv-4e-5-wh-17617")</f>
        <v>0.0</v>
      </c>
      <c r="E2459" s="7" t="n">
        <f>HYPERLINK("https://www.somogyi.hu/data/img/product_main_images/small/17617.jpg","https://www.somogyi.hu/data/img/product_main_images/small/17617.jpg")</f>
        <v>0.0</v>
      </c>
      <c r="F2459" s="2" t="inlineStr">
        <is>
          <t>5999084956394</t>
        </is>
      </c>
      <c r="G2459" s="4" t="inlineStr">
        <is>
          <t>Egy elosztó sosem elég. Minden háztartásban szükség van több megbízható hosszabbítóra, hogy a különböző felhasználási területeket ki lehessen jól szolgálni. NV 4E-5/WH 4 db gyermekvédelemmel ellátott EURO aljazot foglal magában. A fehér színű elosztó vezetéke 5 méter hosszú.</t>
        </is>
      </c>
    </row>
    <row r="2460">
      <c r="A2460" s="3" t="inlineStr">
        <is>
          <t>PNV 06K/WH</t>
        </is>
      </c>
      <c r="B2460" s="2" t="inlineStr">
        <is>
          <t>Home PNV 06K/WH hálózati elosztó, 2 m, H05VV-F 3G1,0 mm2 kábel, kapcsolós, IP20 kivitel, 6 aljzat gyermekvédelemmel, max. 3500W, fehér, felakasztható</t>
        </is>
      </c>
      <c r="C2460" s="1" t="n">
        <v>3490.0</v>
      </c>
      <c r="D2460" s="7" t="n">
        <f>HYPERLINK("https://www.somogyi.hu/product/home-pnv-06k-wh-halozati-eloszto-2-m-h05vv-f-3g1-0-mm2-kabel-kapcsolos-ip20-kivitel-6-aljzat-gyermekvedelemmel-max-3500w-feher-felakaszthato-pnv-06k-wh-8743","https://www.somogyi.hu/product/home-pnv-06k-wh-halozati-eloszto-2-m-h05vv-f-3g1-0-mm2-kabel-kapcsolos-ip20-kivitel-6-aljzat-gyermekvedelemmel-max-3500w-feher-felakaszthato-pnv-06k-wh-8743")</f>
        <v>0.0</v>
      </c>
      <c r="E2460" s="7" t="n">
        <f>HYPERLINK("https://www.somogyi.hu/data/img/product_main_images/small/08743.jpg","https://www.somogyi.hu/data/img/product_main_images/small/08743.jpg")</f>
        <v>0.0</v>
      </c>
      <c r="F2460" s="2" t="inlineStr">
        <is>
          <t>5998312776261</t>
        </is>
      </c>
      <c r="G2460" s="4" t="inlineStr">
        <is>
          <t>Keress az igényeinek megfelelő mennyiségű aljzattal ellátott elosztókat! A PNV 06K/WH egy 2 méteres kábellel és 6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61">
      <c r="A2461" s="3" t="inlineStr">
        <is>
          <t>NVK 03K/WH</t>
        </is>
      </c>
      <c r="B2461" s="2" t="inlineStr">
        <is>
          <t>Home NVK 03K/WH hálózati elosztó, 1,5 m, H05VV-F, 3G1,0 mm2 kábel, kapcsolós, 3 aljzat gyermekvédelemmel, max. 3500W, fehér</t>
        </is>
      </c>
      <c r="C2461" s="1" t="n">
        <v>4090.0</v>
      </c>
      <c r="D2461" s="7" t="n">
        <f>HYPERLINK("https://www.somogyi.hu/product/home-nvk-03k-wh-halozati-eloszto-1-5-m-h05vv-f-3g1-0-mm2-kabel-kapcsolos-3-aljzat-gyermekvedelemmel-max-3500w-feher-nvk-03k-wh-15325","https://www.somogyi.hu/product/home-nvk-03k-wh-halozati-eloszto-1-5-m-h05vv-f-3g1-0-mm2-kabel-kapcsolos-3-aljzat-gyermekvedelemmel-max-3500w-feher-nvk-03k-wh-15325")</f>
        <v>0.0</v>
      </c>
      <c r="E2461" s="7" t="n">
        <f>HYPERLINK("https://www.somogyi.hu/data/img/product_main_images/small/15325.jpg","https://www.somogyi.hu/data/img/product_main_images/small/15325.jpg")</f>
        <v>0.0</v>
      </c>
      <c r="F2461" s="2" t="inlineStr">
        <is>
          <t>5999084933593</t>
        </is>
      </c>
      <c r="G2461" s="4" t="inlineStr">
        <is>
          <t>Az NVK 03K/WH Kapcsolós hálózati elosztó 3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462">
      <c r="A2462" s="3" t="inlineStr">
        <is>
          <t>NVK 03K-3/WH/1,5</t>
        </is>
      </c>
      <c r="B2462" s="2" t="inlineStr">
        <is>
          <t>Home NVK 03K-3/WH/1,5 hálózati elosztó, 3 m, H05VV-F, 3G1,5 mm2 kábel, kapcsolós, 3 aljzat gyermekvédelemmel, max. 3500W, fehér</t>
        </is>
      </c>
      <c r="C2462" s="1" t="n">
        <v>5690.0</v>
      </c>
      <c r="D2462" s="7" t="n">
        <f>HYPERLINK("https://www.somogyi.hu/product/home-nvk-03k-3-wh-1-5-halozati-eloszto-3-m-h05vv-f-3g1-5-mm2-kabel-kapcsolos-3-aljzat-gyermekvedelemmel-max-3500w-feher-nvk-03k-3-wh-1-5-15326","https://www.somogyi.hu/product/home-nvk-03k-3-wh-1-5-halozati-eloszto-3-m-h05vv-f-3g1-5-mm2-kabel-kapcsolos-3-aljzat-gyermekvedelemmel-max-3500w-feher-nvk-03k-3-wh-1-5-15326")</f>
        <v>0.0</v>
      </c>
      <c r="E2462" s="7" t="n">
        <f>HYPERLINK("https://www.somogyi.hu/data/img/product_main_images/small/15326.jpg","https://www.somogyi.hu/data/img/product_main_images/small/15326.jpg")</f>
        <v>0.0</v>
      </c>
      <c r="F2462" s="2" t="inlineStr">
        <is>
          <t>5999084933609</t>
        </is>
      </c>
      <c r="G2462" s="4" t="inlineStr">
        <is>
          <t>Az NVK 03K-3/WH/1,5 WH Kapcsolós hálózati elosztó 3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463">
      <c r="A2463" s="3" t="inlineStr">
        <is>
          <t>NVK 06K/WH</t>
        </is>
      </c>
      <c r="B2463" s="2" t="inlineStr">
        <is>
          <t>Home NVK 06K/WH hálózati elosztó, 1,5 m, H05VV-F, 3G1,0 mm2 kábel, kapcsolós, 6 aljzat gyermekvédelemmel, max. 3500W, fehér</t>
        </is>
      </c>
      <c r="C2463" s="1" t="n">
        <v>6090.0</v>
      </c>
      <c r="D2463" s="7" t="n">
        <f>HYPERLINK("https://www.somogyi.hu/product/home-nvk-06k-wh-halozati-eloszto-1-5-m-h05vv-f-3g1-0-mm2-kabel-kapcsolos-6-aljzat-gyermekvedelemmel-max-3500w-feher-nvk-06k-wh-15327","https://www.somogyi.hu/product/home-nvk-06k-wh-halozati-eloszto-1-5-m-h05vv-f-3g1-0-mm2-kabel-kapcsolos-6-aljzat-gyermekvedelemmel-max-3500w-feher-nvk-06k-wh-15327")</f>
        <v>0.0</v>
      </c>
      <c r="E2463" s="7" t="n">
        <f>HYPERLINK("https://www.somogyi.hu/data/img/product_main_images/small/15327.jpg","https://www.somogyi.hu/data/img/product_main_images/small/15327.jpg")</f>
        <v>0.0</v>
      </c>
      <c r="F2463" s="2" t="inlineStr">
        <is>
          <t>5999084933616</t>
        </is>
      </c>
      <c r="G2463" s="4" t="inlineStr">
        <is>
          <t>Az NVK 06K/WH Kapcsolós hálózati elosztó 6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464">
      <c r="A2464" s="3" t="inlineStr">
        <is>
          <t>NVK 06K-3/WH/1,5</t>
        </is>
      </c>
      <c r="B2464" s="2" t="inlineStr">
        <is>
          <t>Home NVK 06K-3/WH/1,5 hálózati elosztó, 3 m, H05VV-F, 3G1,5 mm2 kábel, kapcsolós, 6 aljzat gyermekvédelemmel, max. 3500W, fehér</t>
        </is>
      </c>
      <c r="C2464" s="1" t="n">
        <v>7690.0</v>
      </c>
      <c r="D2464" s="7" t="n">
        <f>HYPERLINK("https://www.somogyi.hu/product/home-nvk-06k-3-wh-1-5-halozati-eloszto-3-m-h05vv-f-3g1-5-mm2-kabel-kapcsolos-6-aljzat-gyermekvedelemmel-max-3500w-feher-nvk-06k-3-wh-1-5-15328","https://www.somogyi.hu/product/home-nvk-06k-3-wh-1-5-halozati-eloszto-3-m-h05vv-f-3g1-5-mm2-kabel-kapcsolos-6-aljzat-gyermekvedelemmel-max-3500w-feher-nvk-06k-3-wh-1-5-15328")</f>
        <v>0.0</v>
      </c>
      <c r="E2464" s="7" t="n">
        <f>HYPERLINK("https://www.somogyi.hu/data/img/product_main_images/small/15328.jpg","https://www.somogyi.hu/data/img/product_main_images/small/15328.jpg")</f>
        <v>0.0</v>
      </c>
      <c r="F2464" s="2" t="inlineStr">
        <is>
          <t>5999084933623</t>
        </is>
      </c>
      <c r="G2464" s="4" t="inlineStr">
        <is>
          <t>Az NVK 06K-3/WH/1,5 Kapcsolós hálózati elosztó 6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465">
      <c r="A2465" s="3" t="inlineStr">
        <is>
          <t>PNV 04K/WH</t>
        </is>
      </c>
      <c r="B2465" s="2" t="inlineStr">
        <is>
          <t>Home PNV 04K/WH hálózati elosztó, 2 m, H05VV-F 3G1,0 mm2 kábel, kapcsolós, IP20 kivitel, 4 aljzat gyermekvédelemmel, max. 3500W, fehér, felakasztható</t>
        </is>
      </c>
      <c r="C2465" s="1" t="n">
        <v>3090.0</v>
      </c>
      <c r="D2465" s="7" t="n">
        <f>HYPERLINK("https://www.somogyi.hu/product/home-pnv-04k-wh-halozati-eloszto-2-m-h05vv-f-3g1-0-mm2-kabel-kapcsolos-ip20-kivitel-4-aljzat-gyermekvedelemmel-max-3500w-feher-felakaszthato-pnv-04k-wh-8741","https://www.somogyi.hu/product/home-pnv-04k-wh-halozati-eloszto-2-m-h05vv-f-3g1-0-mm2-kabel-kapcsolos-ip20-kivitel-4-aljzat-gyermekvedelemmel-max-3500w-feher-felakaszthato-pnv-04k-wh-8741")</f>
        <v>0.0</v>
      </c>
      <c r="E2465" s="7" t="n">
        <f>HYPERLINK("https://www.somogyi.hu/data/img/product_main_images/small/08741.jpg","https://www.somogyi.hu/data/img/product_main_images/small/08741.jpg")</f>
        <v>0.0</v>
      </c>
      <c r="F2465" s="2" t="inlineStr">
        <is>
          <t>5998312776247</t>
        </is>
      </c>
      <c r="G2465" s="4" t="inlineStr">
        <is>
          <t>Keresse az igényeinek megfelelő mennyiségű aljzattal ellátott elosztókat! A PNV 04K/WH egy 2 méteres kábellel és 4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66">
      <c r="A2466" s="3" t="inlineStr">
        <is>
          <t>NV 04TK/WH</t>
        </is>
      </c>
      <c r="B2466" s="2" t="inlineStr">
        <is>
          <t>Home NV 04TK/WH talpkapcsolós elosztó világító kapcsolóval, 1,5 m, H05VV-F 3G1,0 mm2 kábel, 4 aljzat gyermekvédelemmel, max. 3500W, fehér</t>
        </is>
      </c>
      <c r="C2466" s="1" t="n">
        <v>2690.0</v>
      </c>
      <c r="D2466" s="7" t="n">
        <f>HYPERLINK("https://www.somogyi.hu/product/home-nv-04tk-wh-talpkapcsolos-eloszto-vilagito-kapcsoloval-1-5-m-h05vv-f-3g1-0-mm2-kabel-4-aljzat-gyermekvedelemmel-max-3500w-feher-nv-04tk-wh-15375","https://www.somogyi.hu/product/home-nv-04tk-wh-talpkapcsolos-eloszto-vilagito-kapcsoloval-1-5-m-h05vv-f-3g1-0-mm2-kabel-4-aljzat-gyermekvedelemmel-max-3500w-feher-nv-04tk-wh-15375")</f>
        <v>0.0</v>
      </c>
      <c r="E2466" s="7" t="n">
        <f>HYPERLINK("https://www.somogyi.hu/data/img/product_main_images/small/15375.jpg","https://www.somogyi.hu/data/img/product_main_images/small/15375.jpg")</f>
        <v>0.0</v>
      </c>
      <c r="F2466" s="2" t="inlineStr">
        <is>
          <t>5999084934095</t>
        </is>
      </c>
      <c r="G2466" s="4" t="inlineStr">
        <is>
          <t>NV 04TK/WH típusú talpkapcsolós elosztó világító kapcsolóval van ellátva. A négy aljzathoz 1,5 méteres kábel tartozik. A termék előnye, hogy a negyedik aljzat külön található, hogy kényelmesen elférjen pl. egy adapter. Válassza a minőségi termékeket és rendeljen webáruházunkból!</t>
        </is>
      </c>
    </row>
    <row r="2467">
      <c r="A2467" s="3" t="inlineStr">
        <is>
          <t>NV 06TK/WH</t>
        </is>
      </c>
      <c r="B2467" s="2" t="inlineStr">
        <is>
          <t>Home NV 06TK/WH talpkapcsolós elosztó világító kapcsolóval, 1,5 m, H05VV-F 3G1,0 mm2 kábel, 6 aljzat gyermekvédelemmel, max. 3500W, fehér</t>
        </is>
      </c>
      <c r="C2467" s="1" t="n">
        <v>3490.0</v>
      </c>
      <c r="D2467" s="7" t="n">
        <f>HYPERLINK("https://www.somogyi.hu/product/home-nv-06tk-wh-talpkapcsolos-eloszto-vilagito-kapcsoloval-1-5-m-h05vv-f-3g1-0-mm2-kabel-6-aljzat-gyermekvedelemmel-max-3500w-feher-nv-06tk-wh-15377","https://www.somogyi.hu/product/home-nv-06tk-wh-talpkapcsolos-eloszto-vilagito-kapcsoloval-1-5-m-h05vv-f-3g1-0-mm2-kabel-6-aljzat-gyermekvedelemmel-max-3500w-feher-nv-06tk-wh-15377")</f>
        <v>0.0</v>
      </c>
      <c r="E2467" s="7" t="n">
        <f>HYPERLINK("https://www.somogyi.hu/data/img/product_main_images/small/15377.jpg","https://www.somogyi.hu/data/img/product_main_images/small/15377.jpg")</f>
        <v>0.0</v>
      </c>
      <c r="F2467" s="2" t="inlineStr">
        <is>
          <t>5999084934118</t>
        </is>
      </c>
      <c r="G2467" s="4" t="inlineStr">
        <is>
          <t>NV 06TK/WH típusú talpkapcsolós elosztó világító kapcsolóval van ellátva. A hat aljzathoz 1,5 méteres kábel tartozik. A termék előnye, hogy a hatodik aljzat külön található, hogy kényelmesen elférjen pl. egy adapter. Válassza a minőségi termékeket és rendeljen webáruházunkból!</t>
        </is>
      </c>
    </row>
    <row r="2468">
      <c r="A2468" s="3" t="inlineStr">
        <is>
          <t>NVP 06K/WH</t>
        </is>
      </c>
      <c r="B2468" s="2" t="inlineStr">
        <is>
          <t>Home NVP 06K/WH túlfeszültség védett hálózati elosztó, 2 m, kapcsolós, H05VV-F 3G1,5 mm2 kábel, IP20 kivitel, 6 aljzat, max. 3500W, falra akasztható</t>
        </is>
      </c>
      <c r="C2468" s="1" t="n">
        <v>5190.0</v>
      </c>
      <c r="D2468" s="7" t="n">
        <f>HYPERLINK("https://www.somogyi.hu/product/home-nvp-06k-wh-tulfeszultseg-vedett-halozati-eloszto-2-m-kapcsolos-h05vv-f-3g1-5-mm2-kabel-ip20-kivitel-6-aljzat-max-3500w-falra-akaszthato-nvp-06k-wh-8490","https://www.somogyi.hu/product/home-nvp-06k-wh-tulfeszultseg-vedett-halozati-eloszto-2-m-kapcsolos-h05vv-f-3g1-5-mm2-kabel-ip20-kivitel-6-aljzat-max-3500w-falra-akaszthato-nvp-06k-wh-8490")</f>
        <v>0.0</v>
      </c>
      <c r="E2468" s="7" t="n">
        <f>HYPERLINK("https://www.somogyi.hu/data/img/product_main_images/small/08490.jpg","https://www.somogyi.hu/data/img/product_main_images/small/08490.jpg")</f>
        <v>0.0</v>
      </c>
      <c r="F2468" s="2" t="inlineStr">
        <is>
          <t>5998312773888</t>
        </is>
      </c>
      <c r="G2468" s="4" t="inlineStr">
        <is>
          <t>Ügyeljen a biztonságra és keresse a túlfeszültségvédett hálózati elosztókat! Az NVP 06K/WH egy 2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469">
      <c r="A2469" s="3" t="inlineStr">
        <is>
          <t>NVP 03K/WH</t>
        </is>
      </c>
      <c r="B2469" s="2" t="inlineStr">
        <is>
          <t>Home NVP 03K/WH túlfeszültség védett hálózati elosztó, 2 m, kapcsolós, H05VV-F 3G1,5 mm2 kábel, IP20 kivitel, 3 aljzat, max. 3500W, falra akasztható</t>
        </is>
      </c>
      <c r="C2469" s="1" t="n">
        <v>4590.0</v>
      </c>
      <c r="D2469" s="7" t="n">
        <f>HYPERLINK("https://www.somogyi.hu/product/home-nvp-03k-wh-tulfeszultseg-vedett-halozati-eloszto-2-m-kapcsolos-h05vv-f-3g1-5-mm2-kabel-ip20-kivitel-3-aljzat-max-3500w-falra-akaszthato-nvp-03k-wh-8488","https://www.somogyi.hu/product/home-nvp-03k-wh-tulfeszultseg-vedett-halozati-eloszto-2-m-kapcsolos-h05vv-f-3g1-5-mm2-kabel-ip20-kivitel-3-aljzat-max-3500w-falra-akaszthato-nvp-03k-wh-8488")</f>
        <v>0.0</v>
      </c>
      <c r="E2469" s="7" t="n">
        <f>HYPERLINK("https://www.somogyi.hu/data/img/product_main_images/small/08488.jpg","https://www.somogyi.hu/data/img/product_main_images/small/08488.jpg")</f>
        <v>0.0</v>
      </c>
      <c r="F2469" s="2" t="inlineStr">
        <is>
          <t>5998312773871</t>
        </is>
      </c>
      <c r="G2469" s="4" t="inlineStr">
        <is>
          <t>Ügyeljen a biztonságra és keresse a túlfeszültségvédett hálózati elosztókat! Az NVP 03K/WH egy 2 méteres kábellel, valamint 3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470">
      <c r="A2470" s="3" t="inlineStr">
        <is>
          <t>NVT 06K/WH</t>
        </is>
      </c>
      <c r="B2470" s="2" t="inlineStr">
        <is>
          <t>Home NVT 06K/WH túlfeszültség védett hálózati elosztó, 1,5 m, kapcsolós, H05VV-F 3G1,5 mm2 kábel, IP20 kivitel, 6 aljzat, max. 3500W</t>
        </is>
      </c>
      <c r="C2470" s="1" t="n">
        <v>4390.0</v>
      </c>
      <c r="D2470" s="7" t="n">
        <f>HYPERLINK("https://www.somogyi.hu/product/home-nvt-06k-wh-tulfeszultseg-vedett-halozati-eloszto-1-5-m-kapcsolos-h05vv-f-3g1-5-mm2-kabel-ip20-kivitel-6-aljzat-max-3500w-nvt-06k-wh-8487","https://www.somogyi.hu/product/home-nvt-06k-wh-tulfeszultseg-vedett-halozati-eloszto-1-5-m-kapcsolos-h05vv-f-3g1-5-mm2-kabel-ip20-kivitel-6-aljzat-max-3500w-nvt-06k-wh-8487")</f>
        <v>0.0</v>
      </c>
      <c r="E2470" s="7" t="n">
        <f>HYPERLINK("https://www.somogyi.hu/data/img/product_main_images/small/08487.jpg","https://www.somogyi.hu/data/img/product_main_images/small/08487.jpg")</f>
        <v>0.0</v>
      </c>
      <c r="F2470" s="2" t="inlineStr">
        <is>
          <t>5998312773864</t>
        </is>
      </c>
      <c r="G2470" s="4" t="inlineStr">
        <is>
          <t>Ügyeljen a biztonságra és keresse a túlfeszültségvédett hálózati elosztókat! Az NVT 06K/WH egy 1,5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471">
      <c r="A2471" s="3" t="inlineStr">
        <is>
          <t>NVT 04K/WH</t>
        </is>
      </c>
      <c r="B2471" s="2" t="inlineStr">
        <is>
          <t>Home NVT 04K/WH túlfeszültség védett hálózati elosztó, 1,5 m, kapcsolós, H05VV-F 3G1,5 mm2 kábel, IP20 kivitel, 4 aljzat, max. 3500W</t>
        </is>
      </c>
      <c r="C2471" s="1" t="n">
        <v>4090.0</v>
      </c>
      <c r="D2471" s="7" t="n">
        <f>HYPERLINK("https://www.somogyi.hu/product/home-nvt-04k-wh-tulfeszultseg-vedett-halozati-eloszto-1-5-m-kapcsolos-h05vv-f-3g1-5-mm2-kabel-ip20-kivitel-4-aljzat-max-3500w-nvt-04k-wh-8486","https://www.somogyi.hu/product/home-nvt-04k-wh-tulfeszultseg-vedett-halozati-eloszto-1-5-m-kapcsolos-h05vv-f-3g1-5-mm2-kabel-ip20-kivitel-4-aljzat-max-3500w-nvt-04k-wh-8486")</f>
        <v>0.0</v>
      </c>
      <c r="E2471" s="7" t="n">
        <f>HYPERLINK("https://www.somogyi.hu/data/img/product_main_images/small/08486.jpg","https://www.somogyi.hu/data/img/product_main_images/small/08486.jpg")</f>
        <v>0.0</v>
      </c>
      <c r="F2471" s="2" t="inlineStr">
        <is>
          <t>5998312773857</t>
        </is>
      </c>
      <c r="G2471" s="4" t="inlineStr">
        <is>
          <t>Ügyeljen a biztonságra és keresse a túlfeszültségvédett hálózati elosztókat! Az NVT 04K/WH egy 1,5 méteres kábellel, valamint 4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472">
      <c r="A2472" s="3" t="inlineStr">
        <is>
          <t>NV 3/BK</t>
        </is>
      </c>
      <c r="B2472" s="2" t="inlineStr">
        <is>
          <t>Home NV 3/BK hálózati elosztó, 1,5 m, H05VV-F 3G1,0 mm2 kábel, IP20 kivitel, 3 védőérintkezős aljzat, max. 3500W, fekete</t>
        </is>
      </c>
      <c r="C2472" s="1" t="n">
        <v>1350.0</v>
      </c>
      <c r="D2472" s="7" t="n">
        <f>HYPERLINK("https://www.somogyi.hu/product/home-nv-3-bk-halozati-eloszto-1-5-m-h05vv-f-3g1-0-mm2-kabel-ip20-kivitel-3-vedoerintkezos-aljzat-max-3500w-fekete-nv-3-bk-16797","https://www.somogyi.hu/product/home-nv-3-bk-halozati-eloszto-1-5-m-h05vv-f-3g1-0-mm2-kabel-ip20-kivitel-3-vedoerintkezos-aljzat-max-3500w-fekete-nv-3-bk-16797")</f>
        <v>0.0</v>
      </c>
      <c r="E2472" s="7" t="n">
        <f>HYPERLINK("https://www.somogyi.hu/data/img/product_main_images/small/16797.jpg","https://www.somogyi.hu/data/img/product_main_images/small/16797.jpg")</f>
        <v>0.0</v>
      </c>
      <c r="F2472" s="2" t="inlineStr">
        <is>
          <t>5999084948290</t>
        </is>
      </c>
      <c r="G2472" s="4" t="inlineStr">
        <is>
          <t>Az NV 3/BK Hálózati elosztó fekete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73">
      <c r="A2473" s="3" t="inlineStr">
        <is>
          <t>NV 3/WH</t>
        </is>
      </c>
      <c r="B2473" s="2" t="inlineStr">
        <is>
          <t>Home NV 3/WH hálózati elosztó, 1,5 m, H05VV-F 3G1,0 mm2 kábel, IP20 kivitel, 3 védőérintkezős aljzat, max. 3500W, fehér</t>
        </is>
      </c>
      <c r="C2473" s="1" t="n">
        <v>1350.0</v>
      </c>
      <c r="D2473" s="7" t="n">
        <f>HYPERLINK("https://www.somogyi.hu/product/home-nv-3-wh-halozati-eloszto-1-5-m-h05vv-f-3g1-0-mm2-kabel-ip20-kivitel-3-vedoerintkezos-aljzat-max-3500w-feher-nv-3-wh-16798","https://www.somogyi.hu/product/home-nv-3-wh-halozati-eloszto-1-5-m-h05vv-f-3g1-0-mm2-kabel-ip20-kivitel-3-vedoerintkezos-aljzat-max-3500w-feher-nv-3-wh-16798")</f>
        <v>0.0</v>
      </c>
      <c r="E2473" s="7" t="n">
        <f>HYPERLINK("https://www.somogyi.hu/data/img/product_main_images/small/16798.jpg","https://www.somogyi.hu/data/img/product_main_images/small/16798.jpg")</f>
        <v>0.0</v>
      </c>
      <c r="F2473" s="2" t="inlineStr">
        <is>
          <t>5999084948306</t>
        </is>
      </c>
      <c r="G2473" s="4" t="inlineStr">
        <is>
          <t>Az NV 3/WH Hálózati elosztó fehér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74">
      <c r="A2474" s="3" t="inlineStr">
        <is>
          <t>NV 3-3/WH/1,5</t>
        </is>
      </c>
      <c r="B2474" s="2" t="inlineStr">
        <is>
          <t>Home NV 3-3/WH/1,5 hálózati elosztó, 3 m, H05VV-F 3G1,5 mm2 kábel,  IP20 kivitel, 3 védőérintkezős aljzat, max. 3500W, fehér</t>
        </is>
      </c>
      <c r="C2474" s="1" t="n">
        <v>2390.0</v>
      </c>
      <c r="D2474" s="7" t="n">
        <f>HYPERLINK("https://www.somogyi.hu/product/home-nv-3-3-wh-1-5-halozati-eloszto-3-m-h05vv-f-3g1-5-mm2-kabel-ip20-kivitel-3-vedoerintkezos-aljzat-max-3500w-feher-nv-3-3-wh-1-5-16802","https://www.somogyi.hu/product/home-nv-3-3-wh-1-5-halozati-eloszto-3-m-h05vv-f-3g1-5-mm2-kabel-ip20-kivitel-3-vedoerintkezos-aljzat-max-3500w-feher-nv-3-3-wh-1-5-16802")</f>
        <v>0.0</v>
      </c>
      <c r="E2474" s="7" t="n">
        <f>HYPERLINK("https://www.somogyi.hu/data/img/product_main_images/small/16802.jpg","https://www.somogyi.hu/data/img/product_main_images/small/16802.jpg")</f>
        <v>0.0</v>
      </c>
      <c r="F2474" s="2" t="inlineStr">
        <is>
          <t>5999084948344</t>
        </is>
      </c>
      <c r="G2474" s="4" t="inlineStr">
        <is>
          <t>Az NV 3-3/WH/1,5 Hálózati elosztó fehér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75">
      <c r="A2475" s="3" t="inlineStr">
        <is>
          <t>NV 3K/BK</t>
        </is>
      </c>
      <c r="B2475" s="2" t="inlineStr">
        <is>
          <t>Home NV 3K/BK hálózati elosztó, 1,5 m, H05VV-F 3G1,0 mm2 kábel, kétpólusú kapcsoló, IP20 kivitel, 3 védőérintkezős aljzat, max. 3500W, fekete</t>
        </is>
      </c>
      <c r="C2475" s="1" t="n">
        <v>1690.0</v>
      </c>
      <c r="D2475" s="7" t="n">
        <f>HYPERLINK("https://www.somogyi.hu/product/home-nv-3k-bk-halozati-eloszto-1-5-m-h05vv-f-3g1-0-mm2-kabel-ketpolusu-kapcsolo-ip20-kivitel-3-vedoerintkezos-aljzat-max-3500w-fekete-nv-3k-bk-16805","https://www.somogyi.hu/product/home-nv-3k-bk-halozati-eloszto-1-5-m-h05vv-f-3g1-0-mm2-kabel-ketpolusu-kapcsolo-ip20-kivitel-3-vedoerintkezos-aljzat-max-3500w-fekete-nv-3k-bk-16805")</f>
        <v>0.0</v>
      </c>
      <c r="E2475" s="7" t="n">
        <f>HYPERLINK("https://www.somogyi.hu/data/img/product_main_images/small/16805.jpg","https://www.somogyi.hu/data/img/product_main_images/small/16805.jpg")</f>
        <v>0.0</v>
      </c>
      <c r="F2475" s="2" t="inlineStr">
        <is>
          <t>5999084948375</t>
        </is>
      </c>
      <c r="G2475" s="4" t="inlineStr">
        <is>
          <t>Az NV 3K/BK Kapcsolós hálózati elosztó 3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76">
      <c r="A2476" s="3" t="inlineStr">
        <is>
          <t>NV 3K/WH</t>
        </is>
      </c>
      <c r="B2476" s="2" t="inlineStr">
        <is>
          <t>Home NV 3K/WH hálózati elosztó, 1,5 m, H05VV-F 3G1,0 mm2 kábel, kétpólusú kapcsoló, IP20 kivitel, 3 védőérintkezős aljzat, max. 3500W, fehér</t>
        </is>
      </c>
      <c r="C2476" s="1" t="n">
        <v>1690.0</v>
      </c>
      <c r="D2476" s="7" t="n">
        <f>HYPERLINK("https://www.somogyi.hu/product/home-nv-3k-wh-halozati-eloszto-1-5-m-h05vv-f-3g1-0-mm2-kabel-ketpolusu-kapcsolo-ip20-kivitel-3-vedoerintkezos-aljzat-max-3500w-feher-nv-3k-wh-16806","https://www.somogyi.hu/product/home-nv-3k-wh-halozati-eloszto-1-5-m-h05vv-f-3g1-0-mm2-kabel-ketpolusu-kapcsolo-ip20-kivitel-3-vedoerintkezos-aljzat-max-3500w-feher-nv-3k-wh-16806")</f>
        <v>0.0</v>
      </c>
      <c r="E2476" s="7" t="n">
        <f>HYPERLINK("https://www.somogyi.hu/data/img/product_main_images/small/16806.jpg","https://www.somogyi.hu/data/img/product_main_images/small/16806.jpg")</f>
        <v>0.0</v>
      </c>
      <c r="F2476" s="2" t="inlineStr">
        <is>
          <t>5999084948382</t>
        </is>
      </c>
      <c r="G2476" s="4" t="inlineStr">
        <is>
          <t>Az NV 3K/WH Kapcsolós hálózati elosztó 3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77">
      <c r="A2477" s="3" t="inlineStr">
        <is>
          <t>NV 3K-3/WH/1,5</t>
        </is>
      </c>
      <c r="B2477" s="2" t="inlineStr">
        <is>
          <t>Home NV 3K-3/WH/1,5 hálózati elosztó, 3 m, H05VV-F 3G1,5 mm2 kábel, kétpólusú kapcsoló, IP20 kivitel, 3 védőérintkezős aljzat, max. 3500W, fehér</t>
        </is>
      </c>
      <c r="C2477" s="1" t="n">
        <v>2690.0</v>
      </c>
      <c r="D2477" s="7" t="n">
        <f>HYPERLINK("https://www.somogyi.hu/product/home-nv-3k-3-wh-1-5-halozati-eloszto-3-m-h05vv-f-3g1-5-mm2-kabel-ketpolusu-kapcsolo-ip20-kivitel-3-vedoerintkezos-aljzat-max-3500w-feher-nv-3k-3-wh-1-5-16811","https://www.somogyi.hu/product/home-nv-3k-3-wh-1-5-halozati-eloszto-3-m-h05vv-f-3g1-5-mm2-kabel-ketpolusu-kapcsolo-ip20-kivitel-3-vedoerintkezos-aljzat-max-3500w-feher-nv-3k-3-wh-1-5-16811")</f>
        <v>0.0</v>
      </c>
      <c r="E2477" s="7" t="n">
        <f>HYPERLINK("https://www.somogyi.hu/data/img/product_main_images/small/16811.jpg","https://www.somogyi.hu/data/img/product_main_images/small/16811.jpg")</f>
        <v>0.0</v>
      </c>
      <c r="F2477" s="2" t="inlineStr">
        <is>
          <t>5999084948436</t>
        </is>
      </c>
      <c r="G2477" s="4" t="inlineStr">
        <is>
          <t>Az NV 3K-3/WH/1,5 Kapcsolós hálózati elosztó 3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78">
      <c r="A2478" s="3" t="inlineStr">
        <is>
          <t>NV 3K-5/WH/1,5</t>
        </is>
      </c>
      <c r="B2478" s="2" t="inlineStr">
        <is>
          <t>Home NV 3K-5/WH/1,5 hálózati elosztó, 5 m, H05VV-F 3G1,5 mm2 kábel, kétpólusú kapcsoló, IP20 kivitel, 3 védőérintkezős aljzat, max. 3500W, fehér</t>
        </is>
      </c>
      <c r="C2478" s="1" t="n">
        <v>3590.0</v>
      </c>
      <c r="D2478" s="7" t="n">
        <f>HYPERLINK("https://www.somogyi.hu/product/home-nv-3k-5-wh-1-5-halozati-eloszto-5-m-h05vv-f-3g1-5-mm2-kabel-ketpolusu-kapcsolo-ip20-kivitel-3-vedoerintkezos-aljzat-max-3500w-feher-nv-3k-5-wh-1-5-16814","https://www.somogyi.hu/product/home-nv-3k-5-wh-1-5-halozati-eloszto-5-m-h05vv-f-3g1-5-mm2-kabel-ketpolusu-kapcsolo-ip20-kivitel-3-vedoerintkezos-aljzat-max-3500w-feher-nv-3k-5-wh-1-5-16814")</f>
        <v>0.0</v>
      </c>
      <c r="E2478" s="7" t="n">
        <f>HYPERLINK("https://www.somogyi.hu/data/img/product_main_images/small/16814.jpg","https://www.somogyi.hu/data/img/product_main_images/small/16814.jpg")</f>
        <v>0.0</v>
      </c>
      <c r="F2478" s="2" t="inlineStr">
        <is>
          <t>5999084948467</t>
        </is>
      </c>
      <c r="G2478" s="4" t="inlineStr">
        <is>
          <t>Az NV 3K-5/WH/1,5 Kapcsolós hálózati elosztó 3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79">
      <c r="A2479" s="3" t="inlineStr">
        <is>
          <t>NV 3K-10/WH/1,5</t>
        </is>
      </c>
      <c r="B2479" s="2" t="inlineStr">
        <is>
          <t>Home NV 3K-10/WH/1,5 hálózati elosztó, 10 m, H05VV-F 3G1,5 mm2 kábel, kétpólusú kapcsoló, IP20 kivitel, 3 védőérintkezős aljzat, max. 3500W, fehér</t>
        </is>
      </c>
      <c r="C2479" s="1" t="n">
        <v>5790.0</v>
      </c>
      <c r="D2479" s="7" t="n">
        <f>HYPERLINK("https://www.somogyi.hu/product/home-nv-3k-10-wh-1-5-halozati-eloszto-10-m-h05vv-f-3g1-5-mm2-kabel-ketpolusu-kapcsolo-ip20-kivitel-3-vedoerintkezos-aljzat-max-3500w-feher-nv-3k-10-wh-1-5-16816","https://www.somogyi.hu/product/home-nv-3k-10-wh-1-5-halozati-eloszto-10-m-h05vv-f-3g1-5-mm2-kabel-ketpolusu-kapcsolo-ip20-kivitel-3-vedoerintkezos-aljzat-max-3500w-feher-nv-3k-10-wh-1-5-16816")</f>
        <v>0.0</v>
      </c>
      <c r="E2479" s="7" t="n">
        <f>HYPERLINK("https://www.somogyi.hu/data/img/product_main_images/small/16816.jpg","https://www.somogyi.hu/data/img/product_main_images/small/16816.jpg")</f>
        <v>0.0</v>
      </c>
      <c r="F2479" s="2" t="inlineStr">
        <is>
          <t>5999084948481</t>
        </is>
      </c>
      <c r="G2479" s="4" t="inlineStr">
        <is>
          <t>Az NV 3K-10/WH/1,5 Kapcsolós hálózati elosztó 3 db aljzattal ellátott, melyet egy fő kapcsolóval áramtalanítani tud. A biztonságos használat érdekében IP 20 védelemmel és gyermekvédelemmel ellátott. A fehér elosztó 10 m hosszú H05VV-F 3G1,5 mm2 kábellel felszerelt. 
Vásároljon megbízható hálózati elosztót!</t>
        </is>
      </c>
    </row>
    <row r="2480">
      <c r="A2480" s="3" t="inlineStr">
        <is>
          <t>NV 4/WH</t>
        </is>
      </c>
      <c r="B2480" s="2" t="inlineStr">
        <is>
          <t>Home NV 4/WH hálózati elosztó, 1,5 m, H05VV-F 3G1,0 mm2 kábel, IP20 kivitel, 4 védőérintkezős aljzat, max. 3500W, fehér</t>
        </is>
      </c>
      <c r="C2480" s="1" t="n">
        <v>1550.0</v>
      </c>
      <c r="D2480" s="7" t="n">
        <f>HYPERLINK("https://www.somogyi.hu/product/home-nv-4-wh-halozati-eloszto-1-5-m-h05vv-f-3g1-0-mm2-kabel-ip20-kivitel-4-vedoerintkezos-aljzat-max-3500w-feher-nv-4-wh-16817","https://www.somogyi.hu/product/home-nv-4-wh-halozati-eloszto-1-5-m-h05vv-f-3g1-0-mm2-kabel-ip20-kivitel-4-vedoerintkezos-aljzat-max-3500w-feher-nv-4-wh-16817")</f>
        <v>0.0</v>
      </c>
      <c r="E2480" s="7" t="n">
        <f>HYPERLINK("https://www.somogyi.hu/data/img/product_main_images/small/16817.jpg","https://www.somogyi.hu/data/img/product_main_images/small/16817.jpg")</f>
        <v>0.0</v>
      </c>
      <c r="F2480" s="2" t="inlineStr">
        <is>
          <t>5999084948498</t>
        </is>
      </c>
      <c r="G2480" s="4" t="inlineStr">
        <is>
          <t>Az NV 4/WH Hálózati elosztó fehér színű, 4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1">
      <c r="A2481" s="3" t="inlineStr">
        <is>
          <t>NV 4K/WH</t>
        </is>
      </c>
      <c r="B2481" s="2" t="inlineStr">
        <is>
          <t>Home NV 4K/WH hálózati elosztó, 1,5 m, H05VV-F 3G1,0 mm2 kábel, kétpólusú kapcsoló, IP20 kivitel, 4 védőérintkezős aljzat, max. 3500W, fehér</t>
        </is>
      </c>
      <c r="C2481" s="1" t="n">
        <v>1750.0</v>
      </c>
      <c r="D2481" s="7" t="n">
        <f>HYPERLINK("https://www.somogyi.hu/product/home-nv-4k-wh-halozati-eloszto-1-5-m-h05vv-f-3g1-0-mm2-kabel-ketpolusu-kapcsolo-ip20-kivitel-4-vedoerintkezos-aljzat-max-3500w-feher-nv-4k-wh-16819","https://www.somogyi.hu/product/home-nv-4k-wh-halozati-eloszto-1-5-m-h05vv-f-3g1-0-mm2-kabel-ketpolusu-kapcsolo-ip20-kivitel-4-vedoerintkezos-aljzat-max-3500w-feher-nv-4k-wh-16819")</f>
        <v>0.0</v>
      </c>
      <c r="E2481" s="7" t="n">
        <f>HYPERLINK("https://www.somogyi.hu/data/img/product_main_images/small/16819.jpg","https://www.somogyi.hu/data/img/product_main_images/small/16819.jpg")</f>
        <v>0.0</v>
      </c>
      <c r="F2481" s="2" t="inlineStr">
        <is>
          <t>5999084948511</t>
        </is>
      </c>
      <c r="G2481" s="4" t="inlineStr">
        <is>
          <t>Az NV 4K/WH Kapcsolós hálózati elosztó 4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82">
      <c r="A2482" s="3" t="inlineStr">
        <is>
          <t>NV 5/WH</t>
        </is>
      </c>
      <c r="B2482" s="2" t="inlineStr">
        <is>
          <t>Home NV 5/WH hálózati elosztó, 1,5 m, H05VV-F 3G1,0 mm2 kábel, IP20 kivitel, 5 védőérintkezős aljzat, max. 3500W, fehér</t>
        </is>
      </c>
      <c r="C2482" s="1" t="n">
        <v>1750.0</v>
      </c>
      <c r="D2482" s="7" t="n">
        <f>HYPERLINK("https://www.somogyi.hu/product/home-nv-5-wh-halozati-eloszto-1-5-m-h05vv-f-3g1-0-mm2-kabel-ip20-kivitel-5-vedoerintkezos-aljzat-max-3500w-feher-nv-5-wh-16821","https://www.somogyi.hu/product/home-nv-5-wh-halozati-eloszto-1-5-m-h05vv-f-3g1-0-mm2-kabel-ip20-kivitel-5-vedoerintkezos-aljzat-max-3500w-feher-nv-5-wh-16821")</f>
        <v>0.0</v>
      </c>
      <c r="E2482" s="7" t="n">
        <f>HYPERLINK("https://www.somogyi.hu/data/img/product_main_images/small/16821.jpg","https://www.somogyi.hu/data/img/product_main_images/small/16821.jpg")</f>
        <v>0.0</v>
      </c>
      <c r="F2482" s="2" t="inlineStr">
        <is>
          <t>5999084948535</t>
        </is>
      </c>
      <c r="G2482" s="4" t="inlineStr">
        <is>
          <t>Az NV 5/WH Hálózati elosztó fehér színű, 5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3">
      <c r="A2483" s="3" t="inlineStr">
        <is>
          <t>NV 5K/WH</t>
        </is>
      </c>
      <c r="B2483" s="2" t="inlineStr">
        <is>
          <t>Home NV 5K/WH hálózati elosztó, 1,5 m, H05VV-F 3G1,0 mm2 kábel, kétpólusú kapcsoló, IP20 kivitel, 5 védőérintkezős aljzat, max. 3500W, fehér</t>
        </is>
      </c>
      <c r="C2483" s="1" t="n">
        <v>1890.0</v>
      </c>
      <c r="D2483" s="7" t="n">
        <f>HYPERLINK("https://www.somogyi.hu/product/home-nv-5k-wh-halozati-eloszto-1-5-m-h05vv-f-3g1-0-mm2-kabel-ketpolusu-kapcsolo-ip20-kivitel-5-vedoerintkezos-aljzat-max-3500w-feher-nv-5k-wh-16823","https://www.somogyi.hu/product/home-nv-5k-wh-halozati-eloszto-1-5-m-h05vv-f-3g1-0-mm2-kabel-ketpolusu-kapcsolo-ip20-kivitel-5-vedoerintkezos-aljzat-max-3500w-feher-nv-5k-wh-16823")</f>
        <v>0.0</v>
      </c>
      <c r="E2483" s="7" t="n">
        <f>HYPERLINK("https://www.somogyi.hu/data/img/product_main_images/small/16823.jpg","https://www.somogyi.hu/data/img/product_main_images/small/16823.jpg")</f>
        <v>0.0</v>
      </c>
      <c r="F2483" s="2" t="inlineStr">
        <is>
          <t>5999084948559</t>
        </is>
      </c>
      <c r="G2483" s="4" t="inlineStr">
        <is>
          <t>Az NV 5K/WH Kapcsolós hálózati elosztó 5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84">
      <c r="A2484" s="3" t="inlineStr">
        <is>
          <t>NV 6/BK</t>
        </is>
      </c>
      <c r="B2484" s="2" t="inlineStr">
        <is>
          <t>Home NV 6/BK hálózati elosztó, 1,5 m, H05VV-F 3G1,0 mm2 kábel, IP20 kivitel, 6 védőérintkezős aljzat, max. 3500W, fekete</t>
        </is>
      </c>
      <c r="C2484" s="1" t="n">
        <v>1850.0</v>
      </c>
      <c r="D2484" s="7" t="n">
        <f>HYPERLINK("https://www.somogyi.hu/product/home-nv-6-bk-halozati-eloszto-1-5-m-h05vv-f-3g1-0-mm2-kabel-ip20-kivitel-6-vedoerintkezos-aljzat-max-3500w-fekete-nv-6-bk-16825","https://www.somogyi.hu/product/home-nv-6-bk-halozati-eloszto-1-5-m-h05vv-f-3g1-0-mm2-kabel-ip20-kivitel-6-vedoerintkezos-aljzat-max-3500w-fekete-nv-6-bk-16825")</f>
        <v>0.0</v>
      </c>
      <c r="E2484" s="7" t="n">
        <f>HYPERLINK("https://www.somogyi.hu/data/img/product_main_images/small/16825.jpg","https://www.somogyi.hu/data/img/product_main_images/small/16825.jpg")</f>
        <v>0.0</v>
      </c>
      <c r="F2484" s="2" t="inlineStr">
        <is>
          <t>5999084948573</t>
        </is>
      </c>
      <c r="G2484" s="4" t="inlineStr">
        <is>
          <t>Az NV 6/BK Hálózati elosztó fekete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5">
      <c r="A2485" s="3" t="inlineStr">
        <is>
          <t>NV 6K/BK</t>
        </is>
      </c>
      <c r="B2485" s="2" t="inlineStr">
        <is>
          <t>Home NV 6K/BK hálózati elosztó, 1,5 m, H05VV-F 3G1,0 mm2 kábel, kétpólusú kapcsoló, IP20 kivitel, 6 védőérintkezős aljzat, max. 3500W, fekete</t>
        </is>
      </c>
      <c r="C2485" s="1" t="n">
        <v>2090.0</v>
      </c>
      <c r="D2485" s="7" t="n">
        <f>HYPERLINK("https://www.somogyi.hu/product/home-nv-6k-bk-halozati-eloszto-1-5-m-h05vv-f-3g1-0-mm2-kabel-ketpolusu-kapcsolo-ip20-kivitel-6-vedoerintkezos-aljzat-max-3500w-fekete-nv-6k-bk-16832","https://www.somogyi.hu/product/home-nv-6k-bk-halozati-eloszto-1-5-m-h05vv-f-3g1-0-mm2-kabel-ketpolusu-kapcsolo-ip20-kivitel-6-vedoerintkezos-aljzat-max-3500w-fekete-nv-6k-bk-16832")</f>
        <v>0.0</v>
      </c>
      <c r="E2485" s="7" t="n">
        <f>HYPERLINK("https://www.somogyi.hu/data/img/product_main_images/small/16832.jpg","https://www.somogyi.hu/data/img/product_main_images/small/16832.jpg")</f>
        <v>0.0</v>
      </c>
      <c r="F2485" s="2" t="inlineStr">
        <is>
          <t>5999084948641</t>
        </is>
      </c>
      <c r="G2485" s="4" t="inlineStr">
        <is>
          <t>Az NV 6K/BK Kapcsolós hálózati elosztó 6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86">
      <c r="A2486" s="3" t="inlineStr">
        <is>
          <t>NV 6K/WH</t>
        </is>
      </c>
      <c r="B2486" s="2" t="inlineStr">
        <is>
          <t>Home NV 6K/WH hálózati elosztó, 1,5 m, H05VV-F 3G1,0 mm2 kábel, kétpólusú kapcsoló, IP20 kivitel, 6 védőérintkezős aljzat, max. 3500W, fehér</t>
        </is>
      </c>
      <c r="C2486" s="1" t="n">
        <v>2090.0</v>
      </c>
      <c r="D2486" s="7" t="n">
        <f>HYPERLINK("https://www.somogyi.hu/product/home-nv-6k-wh-halozati-eloszto-1-5-m-h05vv-f-3g1-0-mm2-kabel-ketpolusu-kapcsolo-ip20-kivitel-6-vedoerintkezos-aljzat-max-3500w-feher-nv-6k-wh-16833","https://www.somogyi.hu/product/home-nv-6k-wh-halozati-eloszto-1-5-m-h05vv-f-3g1-0-mm2-kabel-ketpolusu-kapcsolo-ip20-kivitel-6-vedoerintkezos-aljzat-max-3500w-feher-nv-6k-wh-16833")</f>
        <v>0.0</v>
      </c>
      <c r="E2486" s="7" t="n">
        <f>HYPERLINK("https://www.somogyi.hu/data/img/product_main_images/small/16833.jpg","https://www.somogyi.hu/data/img/product_main_images/small/16833.jpg")</f>
        <v>0.0</v>
      </c>
      <c r="F2486" s="2" t="inlineStr">
        <is>
          <t>5999084948658</t>
        </is>
      </c>
      <c r="G2486" s="4" t="inlineStr">
        <is>
          <t>Az NV 6K/WH Kapcsolós hálózati elosztó 6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87">
      <c r="A2487" s="3" t="inlineStr">
        <is>
          <t>NV 6K/WH/1,5</t>
        </is>
      </c>
      <c r="B2487" s="2" t="inlineStr">
        <is>
          <t>Home NV 6K/WH/1,5 hálózati elosztó, 1,5 m, H05VV-F 3G1,5 mm2 kábel, kétpólusú kapcsoló, IP20 kivitel, 6 védőérintkezős aljzat, max. 3500W, fehér</t>
        </is>
      </c>
      <c r="C2487" s="1" t="n">
        <v>2290.0</v>
      </c>
      <c r="D2487" s="7" t="n">
        <f>HYPERLINK("https://www.somogyi.hu/product/home-nv-6k-wh-1-5-halozati-eloszto-1-5-m-h05vv-f-3g1-5-mm2-kabel-ketpolusu-kapcsolo-ip20-kivitel-6-vedoerintkezos-aljzat-max-3500w-feher-nv-6k-wh-1-5-16834","https://www.somogyi.hu/product/home-nv-6k-wh-1-5-halozati-eloszto-1-5-m-h05vv-f-3g1-5-mm2-kabel-ketpolusu-kapcsolo-ip20-kivitel-6-vedoerintkezos-aljzat-max-3500w-feher-nv-6k-wh-1-5-16834")</f>
        <v>0.0</v>
      </c>
      <c r="E2487" s="7" t="n">
        <f>HYPERLINK("https://www.somogyi.hu/data/img/product_main_images/small/16834.jpg","https://www.somogyi.hu/data/img/product_main_images/small/16834.jpg")</f>
        <v>0.0</v>
      </c>
      <c r="F2487" s="2" t="inlineStr">
        <is>
          <t>5999084948665</t>
        </is>
      </c>
      <c r="G2487" s="4" t="inlineStr">
        <is>
          <t>Az NV 6K/WH/1,5 Kapcsolós hálózati elosztó 6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88">
      <c r="A2488" s="3" t="inlineStr">
        <is>
          <t>NVT 4K/BK</t>
        </is>
      </c>
      <c r="B2488" s="2" t="inlineStr">
        <is>
          <t>Home NVT 4K/BK túlfeszültségvédett hálózati elosztó, 1,5 m, H05VV-F 3G1,0 mm2 kábel, 4 aljzat gyermekvédelemmel, kapcsoló, felakasztható, max. 3680W, fekete</t>
        </is>
      </c>
      <c r="C2488" s="1" t="n">
        <v>4590.0</v>
      </c>
      <c r="D2488" s="7" t="n">
        <f>HYPERLINK("https://www.somogyi.hu/product/home-nvt-4k-bk-tulfeszultsegvedett-halozati-eloszto-1-5-m-h05vv-f-3g1-0-mm2-kabel-4-aljzat-gyermekvedelemmel-kapcsolo-felakaszthato-max-3680w-fekete-nvt-4k-bk-17068","https://www.somogyi.hu/product/home-nvt-4k-bk-tulfeszultsegvedett-halozati-eloszto-1-5-m-h05vv-f-3g1-0-mm2-kabel-4-aljzat-gyermekvedelemmel-kapcsolo-felakaszthato-max-3680w-fekete-nvt-4k-bk-17068")</f>
        <v>0.0</v>
      </c>
      <c r="E2488" s="7" t="n">
        <f>HYPERLINK("https://www.somogyi.hu/data/img/product_main_images/small/17068.jpg","https://www.somogyi.hu/data/img/product_main_images/small/17068.jpg")</f>
        <v>0.0</v>
      </c>
      <c r="F2488" s="2" t="inlineStr">
        <is>
          <t>5999084951009</t>
        </is>
      </c>
      <c r="G2488" s="4" t="inlineStr">
        <is>
          <t>Túlfeszültségvédett NVT 4K/BK elosztó tökéletes választás háztartási kisgépek használata során. Kamrában, nyári konyhában, barkács műhelyben akár felakasztva 4 védőzsaluval ellátott aljzat használható egyidejűleg. Világító főkapcsoló jelzi az üzemkész állapotot.</t>
        </is>
      </c>
    </row>
    <row r="2489">
      <c r="A2489" s="3" t="inlineStr">
        <is>
          <t>NVT 6K/BK</t>
        </is>
      </c>
      <c r="B2489" s="2" t="inlineStr">
        <is>
          <t>Home NVT 6K/BK túlfeszültségvédett hálózati elosztó, 1,5 m, H05VV-F 3G1,0 mm2 kábel, 6 aljzat gyermekvédelemmel, kapcsoló, felakasztható, max. 3680W, fekete</t>
        </is>
      </c>
      <c r="C2489" s="1" t="n">
        <v>5390.0</v>
      </c>
      <c r="D2489" s="7" t="n">
        <f>HYPERLINK("https://www.somogyi.hu/product/home-nvt-6k-bk-tulfeszultsegvedett-halozati-eloszto-1-5-m-h05vv-f-3g1-0-mm2-kabel-6-aljzat-gyermekvedelemmel-kapcsolo-felakaszthato-max-3680w-fekete-nvt-6k-bk-17070","https://www.somogyi.hu/product/home-nvt-6k-bk-tulfeszultsegvedett-halozati-eloszto-1-5-m-h05vv-f-3g1-0-mm2-kabel-6-aljzat-gyermekvedelemmel-kapcsolo-felakaszthato-max-3680w-fekete-nvt-6k-bk-17070")</f>
        <v>0.0</v>
      </c>
      <c r="E2489" s="7" t="n">
        <f>HYPERLINK("https://www.somogyi.hu/data/img/product_main_images/small/17070.jpg","https://www.somogyi.hu/data/img/product_main_images/small/17070.jpg")</f>
        <v>0.0</v>
      </c>
      <c r="F2489" s="2" t="inlineStr">
        <is>
          <t>5999084951023</t>
        </is>
      </c>
      <c r="G2489" s="4" t="inlineStr">
        <is>
          <t xml:space="preserve"> • vezeték típusa: H05VV-F 3G 1,0 mm² 
 • vezeték hossza: 1,5 m 
 • névleges feszültség: 250 V~ 
 • névleges áramerősség: 16 A 
 • névleges teljesítmény: 3680 W 
 • aljzatok száma: 6 aljzat védőzsaluval ellátva 
 • gyerekzár: van 
 • túlfeszültségvédelem: 3 kV-ig 
 • kapcsoló: van 
 • felakasztható aljzatok: igen 
 • szín: fekete 
 • IP védettségi fokozat: IP 20</t>
        </is>
      </c>
    </row>
    <row r="2490">
      <c r="A2490" s="3" t="inlineStr">
        <is>
          <t>NVT 6K-3/BK</t>
        </is>
      </c>
      <c r="B2490" s="2" t="inlineStr">
        <is>
          <t>Home NVT 6K-3/BK túlfeszültségvédett hálózati elosztó, 3 m, H05VV-F 3G1,5 mm2 kábel, 6 aljzat gyermekvédelemmel, kapcsoló, felakasztható, max. 3680W, fekete</t>
        </is>
      </c>
      <c r="C2490" s="1" t="n">
        <v>6390.0</v>
      </c>
      <c r="D2490" s="7" t="n">
        <f>HYPERLINK("https://www.somogyi.hu/product/home-nvt-6k-3-bk-tulfeszultsegvedett-halozati-eloszto-3-m-h05vv-f-3g1-5-mm2-kabel-6-aljzat-gyermekvedelemmel-kapcsolo-felakaszthato-max-3680w-fekete-nvt-6k-3-bk-17071","https://www.somogyi.hu/product/home-nvt-6k-3-bk-tulfeszultsegvedett-halozati-eloszto-3-m-h05vv-f-3g1-5-mm2-kabel-6-aljzat-gyermekvedelemmel-kapcsolo-felakaszthato-max-3680w-fekete-nvt-6k-3-bk-17071")</f>
        <v>0.0</v>
      </c>
      <c r="E2490" s="7" t="n">
        <f>HYPERLINK("https://www.somogyi.hu/data/img/product_main_images/small/17071.jpg","https://www.somogyi.hu/data/img/product_main_images/small/17071.jpg")</f>
        <v>0.0</v>
      </c>
      <c r="F2490" s="2" t="inlineStr">
        <is>
          <t>5999084951030</t>
        </is>
      </c>
      <c r="G2490" s="4" t="inlineStr">
        <is>
          <t xml:space="preserve"> • vezeték típusa: H05VV-F 3G 1,5 mm² 
 • vezeték hossza: 3 m 
 • névleges feszültség: 250 V~ 
 • névleges áramerősség: 16 A 
 • névleges teljesítmény: 3680 W 
 • aljzatok száma: 6 aljzat védőzsaluval ellátva 
 • gyerekzár: van 
 • túlfeszültségvédelem: 3 kV-ig 
 • kapcsoló: igen 
 • felakasztható aljzatok: igen 
 • szín: fekete 
 • IP védettségi fokozat: IP 20</t>
        </is>
      </c>
    </row>
    <row r="2491">
      <c r="A2491" s="3" t="inlineStr">
        <is>
          <t>NV 14/WH</t>
        </is>
      </c>
      <c r="B2491" s="2" t="inlineStr">
        <is>
          <t>Home NV 14/WH hálózati elosztó, 1,5 m, H05VV-F 3G1,0 mm2 kábel, IP 20 kivitel, 2 védőérintkezős és 2 euro aljzat, max. 3500W, fehér</t>
        </is>
      </c>
      <c r="C2491" s="1" t="n">
        <v>1750.0</v>
      </c>
      <c r="D2491" s="7" t="n">
        <f>HYPERLINK("https://www.somogyi.hu/product/home-nv-14-wh-halozati-eloszto-1-5-m-h05vv-f-3g1-0-mm2-kabel-ip-20-kivitel-2-vedoerintkezos-es-2-euro-aljzat-max-3500w-feher-nv-14-wh-2860","https://www.somogyi.hu/product/home-nv-14-wh-halozati-eloszto-1-5-m-h05vv-f-3g1-0-mm2-kabel-ip-20-kivitel-2-vedoerintkezos-es-2-euro-aljzat-max-3500w-feher-nv-14-wh-2860")</f>
        <v>0.0</v>
      </c>
      <c r="E2491" s="7" t="n">
        <f>HYPERLINK("https://www.somogyi.hu/data/img/product_main_images/small/02860.jpg","https://www.somogyi.hu/data/img/product_main_images/small/02860.jpg")</f>
        <v>0.0</v>
      </c>
      <c r="F2491" s="2" t="inlineStr">
        <is>
          <t>5998312731840</t>
        </is>
      </c>
      <c r="G2491" s="4" t="inlineStr">
        <is>
          <t>Az NV 14/WH Hálózati elosztó fehér színű, 2 db védőérintkezős aljzattal és 2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492">
      <c r="A2492" s="3" t="inlineStr">
        <is>
          <t>NV 3K-3/GR/1,5</t>
        </is>
      </c>
      <c r="B2492" s="2" t="inlineStr">
        <is>
          <t>Home NV 3K-3/GR/1,5 hálózati elosztó, 3 m, H05VV-F 3G1,5 mm2 kábel, kétpólusú kapcsoló, IP20 kivitel, 3 védőérintkezős aljzat, max. 3500W, zöld</t>
        </is>
      </c>
      <c r="C2492" s="1" t="n">
        <v>3190.0</v>
      </c>
      <c r="D2492" s="7" t="n">
        <f>HYPERLINK("https://www.somogyi.hu/product/home-nv-3k-3-gr-1-5-halozati-eloszto-3-m-h05vv-f-3g1-5-mm2-kabel-ketpolusu-kapcsolo-ip20-kivitel-3-vedoerintkezos-aljzat-max-3500w-zold-nv-3k-3-gr-1-5-17135","https://www.somogyi.hu/product/home-nv-3k-3-gr-1-5-halozati-eloszto-3-m-h05vv-f-3g1-5-mm2-kabel-ketpolusu-kapcsolo-ip20-kivitel-3-vedoerintkezos-aljzat-max-3500w-zold-nv-3k-3-gr-1-5-17135")</f>
        <v>0.0</v>
      </c>
      <c r="E2492" s="7" t="n">
        <f>HYPERLINK("https://www.somogyi.hu/data/img/product_main_images/small/17135.jpg","https://www.somogyi.hu/data/img/product_main_images/small/17135.jpg")</f>
        <v>0.0</v>
      </c>
      <c r="F2492" s="2" t="inlineStr">
        <is>
          <t>5999084951672</t>
        </is>
      </c>
      <c r="G2492" s="4" t="inlineStr">
        <is>
          <t>Az NV 3K-3/GR/1,5 Kapcsolós hálózati elosztó 3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493">
      <c r="A2493" s="3" t="inlineStr">
        <is>
          <t>NV 3K-5/GR/1,5</t>
        </is>
      </c>
      <c r="B2493" s="2" t="inlineStr">
        <is>
          <t>Home NV 3K-5/GR/1,5 hálózati elosztó, 5 m, H05VV-F 3G1,5 mm2 kábel, kétpólusú kapcsoló, IP20 kivitel, 3 védőérintkezős aljzat, max. 3500W, zöld</t>
        </is>
      </c>
      <c r="C2493" s="1" t="n">
        <v>3590.0</v>
      </c>
      <c r="D2493" s="7" t="n">
        <f>HYPERLINK("https://www.somogyi.hu/product/home-nv-3k-5-gr-1-5-halozati-eloszto-5-m-h05vv-f-3g1-5-mm2-kabel-ketpolusu-kapcsolo-ip20-kivitel-3-vedoerintkezos-aljzat-max-3500w-zold-nv-3k-5-gr-1-5-17136","https://www.somogyi.hu/product/home-nv-3k-5-gr-1-5-halozati-eloszto-5-m-h05vv-f-3g1-5-mm2-kabel-ketpolusu-kapcsolo-ip20-kivitel-3-vedoerintkezos-aljzat-max-3500w-zold-nv-3k-5-gr-1-5-17136")</f>
        <v>0.0</v>
      </c>
      <c r="E2493" s="7" t="n">
        <f>HYPERLINK("https://www.somogyi.hu/data/img/product_main_images/small/17136.jpg","https://www.somogyi.hu/data/img/product_main_images/small/17136.jpg")</f>
        <v>0.0</v>
      </c>
      <c r="F2493" s="2" t="inlineStr">
        <is>
          <t>5999084951689</t>
        </is>
      </c>
      <c r="G2493" s="4" t="inlineStr">
        <is>
          <t>Az NV 3K-5/GR/1,5 Kapcsolós hálózati elosztó 3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494">
      <c r="A2494" s="3" t="inlineStr">
        <is>
          <t>NV 4K-3/WH/1,5</t>
        </is>
      </c>
      <c r="B2494" s="2" t="inlineStr">
        <is>
          <t>Home NV 4K-3/WH/1,5 hálózati elosztó, 3 m, H05VV-F 3G1,5 mm2 kábel, kétpólusú kapcsoló, IP20 kivitel, 4 védőérintkezős aljzat, max. 3500W, fehér</t>
        </is>
      </c>
      <c r="C2494" s="1" t="n">
        <v>2890.0</v>
      </c>
      <c r="D2494" s="7" t="n">
        <f>HYPERLINK("https://www.somogyi.hu/product/home-nv-4k-3-wh-1-5-halozati-eloszto-3-m-h05vv-f-3g1-5-mm2-kabel-ketpolusu-kapcsolo-ip20-kivitel-4-vedoerintkezos-aljzat-max-3500w-feher-nv-4k-3-wh-1-5-17137","https://www.somogyi.hu/product/home-nv-4k-3-wh-1-5-halozati-eloszto-3-m-h05vv-f-3g1-5-mm2-kabel-ketpolusu-kapcsolo-ip20-kivitel-4-vedoerintkezos-aljzat-max-3500w-feher-nv-4k-3-wh-1-5-17137")</f>
        <v>0.0</v>
      </c>
      <c r="E2494" s="7" t="n">
        <f>HYPERLINK("https://www.somogyi.hu/data/img/product_main_images/small/17137.jpg","https://www.somogyi.hu/data/img/product_main_images/small/17137.jpg")</f>
        <v>0.0</v>
      </c>
      <c r="F2494" s="2" t="inlineStr">
        <is>
          <t>5999084951696</t>
        </is>
      </c>
      <c r="G2494" s="4" t="inlineStr">
        <is>
          <t>Az NV 4K-3/WH/1,5 Kapcsolós hálózati elosztó 4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95">
      <c r="A2495" s="3" t="inlineStr">
        <is>
          <t>NV 6K-3/GR/1,5</t>
        </is>
      </c>
      <c r="B2495" s="2" t="inlineStr">
        <is>
          <t>Home NV 6K-3/GR/1,5 hálózati elosztó, 3 m, H05VV-F 3G1,5 mm2 kábel, kétpólusú kapcsoló, IP20 kivitel, 6 védőérintkezős aljzat, max. 3500W, zöld</t>
        </is>
      </c>
      <c r="C2495" s="1" t="n">
        <v>3190.0</v>
      </c>
      <c r="D2495" s="7" t="n">
        <f>HYPERLINK("https://www.somogyi.hu/product/home-nv-6k-3-gr-1-5-halozati-eloszto-3-m-h05vv-f-3g1-5-mm2-kabel-ketpolusu-kapcsolo-ip20-kivitel-6-vedoerintkezos-aljzat-max-3500w-zold-nv-6k-3-gr-1-5-17139","https://www.somogyi.hu/product/home-nv-6k-3-gr-1-5-halozati-eloszto-3-m-h05vv-f-3g1-5-mm2-kabel-ketpolusu-kapcsolo-ip20-kivitel-6-vedoerintkezos-aljzat-max-3500w-zold-nv-6k-3-gr-1-5-17139")</f>
        <v>0.0</v>
      </c>
      <c r="E2495" s="7" t="n">
        <f>HYPERLINK("https://www.somogyi.hu/data/img/product_main_images/small/17139.jpg","https://www.somogyi.hu/data/img/product_main_images/small/17139.jpg")</f>
        <v>0.0</v>
      </c>
      <c r="F2495" s="2" t="inlineStr">
        <is>
          <t>5999084951719</t>
        </is>
      </c>
      <c r="G2495" s="4" t="inlineStr">
        <is>
          <t>Az NV 6K-3/GR/1,5 Kapcsolós hálózati elosztó 6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496">
      <c r="A2496" s="3" t="inlineStr">
        <is>
          <t>NV 6K-5/GR/1,5</t>
        </is>
      </c>
      <c r="B2496" s="2" t="inlineStr">
        <is>
          <t>Home NV 6K-5/GR/1,5 hálózati elosztó, 5 m, H05VV-F 3G1,5 mm2 kábel, kétpólusú kapcsoló, IP20 kivitel, 6 védőérintkezős aljzat, max. 3500W, zöld</t>
        </is>
      </c>
      <c r="C2496" s="1" t="n">
        <v>4890.0</v>
      </c>
      <c r="D2496" s="7" t="n">
        <f>HYPERLINK("https://www.somogyi.hu/product/home-nv-6k-5-gr-1-5-halozati-eloszto-5-m-h05vv-f-3g1-5-mm2-kabel-ketpolusu-kapcsolo-ip20-kivitel-6-vedoerintkezos-aljzat-max-3500w-zold-nv-6k-5-gr-1-5-17140","https://www.somogyi.hu/product/home-nv-6k-5-gr-1-5-halozati-eloszto-5-m-h05vv-f-3g1-5-mm2-kabel-ketpolusu-kapcsolo-ip20-kivitel-6-vedoerintkezos-aljzat-max-3500w-zold-nv-6k-5-gr-1-5-17140")</f>
        <v>0.0</v>
      </c>
      <c r="E2496" s="7" t="n">
        <f>HYPERLINK("https://www.somogyi.hu/data/img/product_main_images/small/17140.jpg","https://www.somogyi.hu/data/img/product_main_images/small/17140.jpg")</f>
        <v>0.0</v>
      </c>
      <c r="F2496" s="2" t="inlineStr">
        <is>
          <t>5999084951726</t>
        </is>
      </c>
      <c r="G2496" s="4" t="inlineStr">
        <is>
          <t>Az NV 6K-5/GR/1,5 Kapcsolós hálózati elosztó 6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497">
      <c r="A2497" s="3" t="inlineStr">
        <is>
          <t>NV 3-3/BK/1,5</t>
        </is>
      </c>
      <c r="B2497" s="2" t="inlineStr">
        <is>
          <t>Home NV 3-3/BK/1,5 hálózati elosztó, 3 m, H05VV-F 3G1,5 mm2 kábel,  IP20 kivitel, 3 védőérintkezős aljzat, max. 3500W, fekete</t>
        </is>
      </c>
      <c r="C2497" s="1" t="n">
        <v>2390.0</v>
      </c>
      <c r="D2497" s="7" t="n">
        <f>HYPERLINK("https://www.somogyi.hu/product/home-nv-3-3-bk-1-5-halozati-eloszto-3-m-h05vv-f-3g1-5-mm2-kabel-ip20-kivitel-3-vedoerintkezos-aljzat-max-3500w-fekete-nv-3-3-bk-1-5-17141","https://www.somogyi.hu/product/home-nv-3-3-bk-1-5-halozati-eloszto-3-m-h05vv-f-3g1-5-mm2-kabel-ip20-kivitel-3-vedoerintkezos-aljzat-max-3500w-fekete-nv-3-3-bk-1-5-17141")</f>
        <v>0.0</v>
      </c>
      <c r="E2497" s="7" t="n">
        <f>HYPERLINK("https://www.somogyi.hu/data/img/product_main_images/small/17141.jpg","https://www.somogyi.hu/data/img/product_main_images/small/17141.jpg")</f>
        <v>0.0</v>
      </c>
      <c r="F2497" s="2" t="inlineStr">
        <is>
          <t>5999084951733</t>
        </is>
      </c>
      <c r="G2497" s="4" t="inlineStr">
        <is>
          <t>Az NV 3-3/BK/1,5 Hálózati elosztó fekete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8">
      <c r="A2498" s="3" t="inlineStr">
        <is>
          <t>NV 4-3/WH/1,5</t>
        </is>
      </c>
      <c r="B2498" s="2" t="inlineStr">
        <is>
          <t>Home NV 4-3/WH/1,5 hálózati elosztó, 3 m, H05VV-F 3G1,5 mm2 kábel, IP20 kivitel, 4 védőérintkezős aljzat, max. 3500W, fehér</t>
        </is>
      </c>
      <c r="C2498" s="1" t="n">
        <v>2590.0</v>
      </c>
      <c r="D2498" s="7" t="n">
        <f>HYPERLINK("https://www.somogyi.hu/product/home-nv-4-3-wh-1-5-halozati-eloszto-3-m-h05vv-f-3g1-5-mm2-kabel-ip20-kivitel-4-vedoerintkezos-aljzat-max-3500w-feher-nv-4-3-wh-1-5-17142","https://www.somogyi.hu/product/home-nv-4-3-wh-1-5-halozati-eloszto-3-m-h05vv-f-3g1-5-mm2-kabel-ip20-kivitel-4-vedoerintkezos-aljzat-max-3500w-feher-nv-4-3-wh-1-5-17142")</f>
        <v>0.0</v>
      </c>
      <c r="E2498" s="7" t="n">
        <f>HYPERLINK("https://www.somogyi.hu/data/img/product_main_images/small/17142.jpg","https://www.somogyi.hu/data/img/product_main_images/small/17142.jpg")</f>
        <v>0.0</v>
      </c>
      <c r="F2498" s="2" t="inlineStr">
        <is>
          <t>5999084951740</t>
        </is>
      </c>
      <c r="G2498" s="4" t="inlineStr">
        <is>
          <t>Az NV 4-3/WH/1,5 hálózati elosztó fehér színű, 4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9">
      <c r="A2499" s="3" t="inlineStr">
        <is>
          <t>NV 5-3/WH/1,5</t>
        </is>
      </c>
      <c r="B2499" s="2" t="inlineStr">
        <is>
          <t>Home NV 5-3/WH/1,5 hálózati elosztó, 3 m, H05VV-F 3G1,5 mm2 kábel,  IP20 kivitel, 5 védőérintkezős aljzat, max. 3500W, fehér</t>
        </is>
      </c>
      <c r="C2499" s="1" t="n">
        <v>2790.0</v>
      </c>
      <c r="D2499" s="7" t="n">
        <f>HYPERLINK("https://www.somogyi.hu/product/home-nv-5-3-wh-1-5-halozati-eloszto-3-m-h05vv-f-3g1-5-mm2-kabel-ip20-kivitel-5-vedoerintkezos-aljzat-max-3500w-feher-nv-5-3-wh-1-5-17143","https://www.somogyi.hu/product/home-nv-5-3-wh-1-5-halozati-eloszto-3-m-h05vv-f-3g1-5-mm2-kabel-ip20-kivitel-5-vedoerintkezos-aljzat-max-3500w-feher-nv-5-3-wh-1-5-17143")</f>
        <v>0.0</v>
      </c>
      <c r="E2499" s="7" t="n">
        <f>HYPERLINK("https://www.somogyi.hu/data/img/product_main_images/small/17143.jpg","https://www.somogyi.hu/data/img/product_main_images/small/17143.jpg")</f>
        <v>0.0</v>
      </c>
      <c r="F2499" s="2" t="inlineStr">
        <is>
          <t>5999084951757</t>
        </is>
      </c>
      <c r="G2499" s="4" t="inlineStr">
        <is>
          <t>Az NV 5-3/WH/1,5 Hálózati elosztó fehér színű, 5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00">
      <c r="A2500" s="3" t="inlineStr">
        <is>
          <t>NV 6-3/BK/1,5</t>
        </is>
      </c>
      <c r="B2500" s="2" t="inlineStr">
        <is>
          <t>Home NV 6-3/BK/1,5 hálózati elosztó, 3 m, H05VV-F 3G1,5 mm2 kábel,  IP20 kivitel, 6 védőérintkezős aljzat, max. 3500W, fekete</t>
        </is>
      </c>
      <c r="C2500" s="1" t="n">
        <v>2890.0</v>
      </c>
      <c r="D2500" s="7" t="n">
        <f>HYPERLINK("https://www.somogyi.hu/product/home-nv-6-3-bk-1-5-halozati-eloszto-3-m-h05vv-f-3g1-5-mm2-kabel-ip20-kivitel-6-vedoerintkezos-aljzat-max-3500w-fekete-nv-6-3-bk-1-5-17144","https://www.somogyi.hu/product/home-nv-6-3-bk-1-5-halozati-eloszto-3-m-h05vv-f-3g1-5-mm2-kabel-ip20-kivitel-6-vedoerintkezos-aljzat-max-3500w-fekete-nv-6-3-bk-1-5-17144")</f>
        <v>0.0</v>
      </c>
      <c r="E2500" s="7" t="n">
        <f>HYPERLINK("https://www.somogyi.hu/data/img/product_main_images/small/17144.jpg","https://www.somogyi.hu/data/img/product_main_images/small/17144.jpg")</f>
        <v>0.0</v>
      </c>
      <c r="F2500" s="2" t="inlineStr">
        <is>
          <t>5999084951764</t>
        </is>
      </c>
      <c r="G2500" s="4" t="inlineStr">
        <is>
          <t>Az NV 6-3/BK/1,5 Hálózati elosztó fekete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01">
      <c r="A2501" s="3" t="inlineStr">
        <is>
          <t>NV 14-3/WH/1,5</t>
        </is>
      </c>
      <c r="B2501" s="2" t="inlineStr">
        <is>
          <t>Home NV 14-3/WH/1,5 hálózati elosztó, 3 m, H05VV-F 3G1,5 mm2 kábel, IP 20 kivitel, 2 védőérintkezős és 2 euro aljzat, max. 3500W, fehér</t>
        </is>
      </c>
      <c r="C2501" s="1" t="n">
        <v>2590.0</v>
      </c>
      <c r="D2501" s="7" t="n">
        <f>HYPERLINK("https://www.somogyi.hu/product/home-nv-14-3-wh-1-5-halozati-eloszto-3-m-h05vv-f-3g1-5-mm2-kabel-ip-20-kivitel-2-vedoerintkezos-es-2-euro-aljzat-max-3500w-feher-nv-14-3-wh-1-5-17145","https://www.somogyi.hu/product/home-nv-14-3-wh-1-5-halozati-eloszto-3-m-h05vv-f-3g1-5-mm2-kabel-ip-20-kivitel-2-vedoerintkezos-es-2-euro-aljzat-max-3500w-feher-nv-14-3-wh-1-5-17145")</f>
        <v>0.0</v>
      </c>
      <c r="E2501" s="7" t="n">
        <f>HYPERLINK("https://www.somogyi.hu/data/img/product_main_images/small/17145.jpg","https://www.somogyi.hu/data/img/product_main_images/small/17145.jpg")</f>
        <v>0.0</v>
      </c>
      <c r="F2501" s="2" t="inlineStr">
        <is>
          <t>5999084951771</t>
        </is>
      </c>
      <c r="G2501" s="4" t="inlineStr">
        <is>
          <t xml:space="preserve"> • vezeték típusa: H05VV-F 3G 1,5 mm² 
 • vezeték hossza: 3 m 
 • névleges feszültség: 250 V~ 
 • névleges áramerősség: 16 A 
 • névleges teljesítmény: 3500 W 
 • aljzatok száma: 2 x védőérintkezős aljzat - 2 x euro aljzat 
 • gyerekzár: van 
 • szín: fehér 
 • IP védettségi fokozat: IP20</t>
        </is>
      </c>
    </row>
    <row r="2502">
      <c r="A2502" s="3" t="inlineStr">
        <is>
          <t>NV 18-3/WH/1,5</t>
        </is>
      </c>
      <c r="B2502" s="2" t="inlineStr">
        <is>
          <t>Home NV 18-3/WH/1,5 hálózati elosztó, 3 m, H05VV-F 3G1,5 mm2 kábel, IP 20 kivitel, 4 védőérintkezős és 4 euro aljzat, max. 3500W, fehér</t>
        </is>
      </c>
      <c r="C2502" s="1" t="n">
        <v>3090.0</v>
      </c>
      <c r="D2502" s="7" t="n">
        <f>HYPERLINK("https://www.somogyi.hu/product/home-nv-18-3-wh-1-5-halozati-eloszto-3-m-h05vv-f-3g1-5-mm2-kabel-ip-20-kivitel-4-vedoerintkezos-es-4-euro-aljzat-max-3500w-feher-nv-18-3-wh-1-5-17146","https://www.somogyi.hu/product/home-nv-18-3-wh-1-5-halozati-eloszto-3-m-h05vv-f-3g1-5-mm2-kabel-ip-20-kivitel-4-vedoerintkezos-es-4-euro-aljzat-max-3500w-feher-nv-18-3-wh-1-5-17146")</f>
        <v>0.0</v>
      </c>
      <c r="E2502" s="7" t="n">
        <f>HYPERLINK("https://www.somogyi.hu/data/img/product_main_images/small/17146.jpg","https://www.somogyi.hu/data/img/product_main_images/small/17146.jpg")</f>
        <v>0.0</v>
      </c>
      <c r="F2502" s="2" t="inlineStr">
        <is>
          <t>5999084951788</t>
        </is>
      </c>
      <c r="G2502" s="4" t="inlineStr">
        <is>
          <t xml:space="preserve"> • vezeték típusa: H05VV-F 3G1,5 mm² 
 • vezeték hossza: 3 m 
 • névleges feszültség: 250 V~ 
 • névleges áramerősség: 16 A 
 • névleges teljesítmény: 3500 W 
 • aljzatok száma: 4 x védőérintkezős aljzat - 4 x euro aljzat 
 • gyerekzár: van 
 • szín: fehér 
 • IP védettségi fokozat: IP20</t>
        </is>
      </c>
    </row>
    <row r="2503">
      <c r="A2503" s="3" t="inlineStr">
        <is>
          <t>NV 6K-3/BK/1,5</t>
        </is>
      </c>
      <c r="B2503" s="2" t="inlineStr">
        <is>
          <t>Home NV 6K-3/BK/1,5 hálózati elosztó, 3 m, H05VV-F 3G1,5 mm2 kábel, kétpólusú kapcsoló, IP20 kivitel, 6 védőérintkezős aljzat, max. 3500W, fekete</t>
        </is>
      </c>
      <c r="C2503" s="1" t="n">
        <v>3190.0</v>
      </c>
      <c r="D2503" s="7" t="n">
        <f>HYPERLINK("https://www.somogyi.hu/product/home-nv-6k-3-bk-1-5-halozati-eloszto-3-m-h05vv-f-3g1-5-mm2-kabel-ketpolusu-kapcsolo-ip20-kivitel-6-vedoerintkezos-aljzat-max-3500w-fekete-nv-6k-3-bk-1-5-17147","https://www.somogyi.hu/product/home-nv-6k-3-bk-1-5-halozati-eloszto-3-m-h05vv-f-3g1-5-mm2-kabel-ketpolusu-kapcsolo-ip20-kivitel-6-vedoerintkezos-aljzat-max-3500w-fekete-nv-6k-3-bk-1-5-17147")</f>
        <v>0.0</v>
      </c>
      <c r="E2503" s="7" t="n">
        <f>HYPERLINK("https://www.somogyi.hu/data/img/product_main_images/small/17147.jpg","https://www.somogyi.hu/data/img/product_main_images/small/17147.jpg")</f>
        <v>0.0</v>
      </c>
      <c r="F2503" s="2" t="inlineStr">
        <is>
          <t>5999084951795</t>
        </is>
      </c>
      <c r="G2503" s="4" t="inlineStr">
        <is>
          <t>Az NV 6K-3/BK/1,5 Kapcsolós hálózati elosztó 6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504">
      <c r="A2504" s="3" t="inlineStr">
        <is>
          <t>NVT 06K USB/WH</t>
        </is>
      </c>
      <c r="B2504" s="2" t="inlineStr">
        <is>
          <t>Home NVT 06K USB/WH túlfeszültség védett hálózati elosztó, 1,4 m, kapcsolós, H05VV-F 3G1,5 mm2 kábel, 6 aljzat, max. 3680W, falra akasztható, USB töltőaljzatok</t>
        </is>
      </c>
      <c r="C2504" s="1" t="n">
        <v>7190.0</v>
      </c>
      <c r="D2504" s="7" t="n">
        <f>HYPERLINK("https://www.somogyi.hu/product/home-nvt-06k-usb-wh-tulfeszultseg-vedett-halozati-eloszto-1-4-m-kapcsolos-h05vv-f-3g1-5-mm2-kabel-6-aljzat-max-3680w-falra-akaszthato-usb-toltoaljzatok-nvt-06k-usb-wh-15703","https://www.somogyi.hu/product/home-nvt-06k-usb-wh-tulfeszultseg-vedett-halozati-eloszto-1-4-m-kapcsolos-h05vv-f-3g1-5-mm2-kabel-6-aljzat-max-3680w-falra-akaszthato-usb-toltoaljzatok-nvt-06k-usb-wh-15703")</f>
        <v>0.0</v>
      </c>
      <c r="E2504" s="7" t="n">
        <f>HYPERLINK("https://www.somogyi.hu/data/img/product_main_images/small/15703.jpg","https://www.somogyi.hu/data/img/product_main_images/small/15703.jpg")</f>
        <v>0.0</v>
      </c>
      <c r="F2504" s="2" t="inlineStr">
        <is>
          <t>5999084937379</t>
        </is>
      </c>
      <c r="G2504" s="4" t="inlineStr">
        <is>
          <t>NVT 06K USB/WH típusú túlfeszültségvédett hálózati elosztó alkalmas háztartási IT készülékek védelmére. Az aljzat túlfeszültség elleni védelemmel rendelkezik 4 KV-ig. A hat aljzat mellett 2 darab USB töltőaljzat is található. Az aljzat akár felakasztva is használható. Válassza a minőségi termékeket és rendeljen webáruházunkból!</t>
        </is>
      </c>
    </row>
    <row r="2505">
      <c r="A2505" s="3" t="inlineStr">
        <is>
          <t>NV 3-5/WH/1,5</t>
        </is>
      </c>
      <c r="B2505" s="2" t="inlineStr">
        <is>
          <t>Home NV 3-5/WH/1,5 hálózati elosztó, 5 m, H05VV-F 3G1,5 mm2 kábel,  IP20 kivitel, 3 védőérintkezős aljzat, max. 3500W, fehér</t>
        </is>
      </c>
      <c r="C2505" s="1" t="n">
        <v>3390.0</v>
      </c>
      <c r="D2505" s="7" t="n">
        <f>HYPERLINK("https://www.somogyi.hu/product/home-nv-3-5-wh-1-5-halozati-eloszto-5-m-h05vv-f-3g1-5-mm2-kabel-ip20-kivitel-3-vedoerintkezos-aljzat-max-3500w-feher-nv-3-5-wh-1-5-16804","https://www.somogyi.hu/product/home-nv-3-5-wh-1-5-halozati-eloszto-5-m-h05vv-f-3g1-5-mm2-kabel-ip20-kivitel-3-vedoerintkezos-aljzat-max-3500w-feher-nv-3-5-wh-1-5-16804")</f>
        <v>0.0</v>
      </c>
      <c r="E2505" s="7" t="n">
        <f>HYPERLINK("https://www.somogyi.hu/data/img/product_main_images/small/16804.jpg","https://www.somogyi.hu/data/img/product_main_images/small/16804.jpg")</f>
        <v>0.0</v>
      </c>
      <c r="F2505" s="2" t="inlineStr">
        <is>
          <t>5999084948368</t>
        </is>
      </c>
      <c r="G2505" s="4" t="inlineStr">
        <is>
          <t>Az NV 3-5/WH/1,5 Hálózati elosztó fehér színű, 3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06">
      <c r="A2506" s="3" t="inlineStr">
        <is>
          <t>NV 6/WH</t>
        </is>
      </c>
      <c r="B2506" s="2" t="inlineStr">
        <is>
          <t>Home NV 6/WH hálózati elosztó, 1,5 m, H05VV-F 3G1,0 mm2 kábel, IP20 kivitel, 6 védőérintkezős aljzat, max. 3500W, fehér</t>
        </is>
      </c>
      <c r="C2506" s="1" t="n">
        <v>1850.0</v>
      </c>
      <c r="D2506" s="7" t="n">
        <f>HYPERLINK("https://www.somogyi.hu/product/home-nv-6-wh-halozati-eloszto-1-5-m-h05vv-f-3g1-0-mm2-kabel-ip20-kivitel-6-vedoerintkezos-aljzat-max-3500w-feher-nv-6-wh-16826","https://www.somogyi.hu/product/home-nv-6-wh-halozati-eloszto-1-5-m-h05vv-f-3g1-0-mm2-kabel-ip20-kivitel-6-vedoerintkezos-aljzat-max-3500w-feher-nv-6-wh-16826")</f>
        <v>0.0</v>
      </c>
      <c r="E2506" s="7" t="n">
        <f>HYPERLINK("https://www.somogyi.hu/data/img/product_main_images/small/16826.jpg","https://www.somogyi.hu/data/img/product_main_images/small/16826.jpg")</f>
        <v>0.0</v>
      </c>
      <c r="F2506" s="2" t="inlineStr">
        <is>
          <t>5999084948580</t>
        </is>
      </c>
      <c r="G2506" s="4" t="inlineStr">
        <is>
          <t>Az NV 6/WH Hálózati elosztó fehér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507">
      <c r="A2507" s="3" t="inlineStr">
        <is>
          <t>NV 6-3/WH/1,5</t>
        </is>
      </c>
      <c r="B2507" s="2" t="inlineStr">
        <is>
          <t>Home NV 6-3/WH/1,5 hálózati elosztó, 3 m, H05VV-F 3G1,5 mm2 kábel,  IP20 kivitel, 6 védőérintkezős aljzat, max. 3500W, fehér</t>
        </is>
      </c>
      <c r="C2507" s="1" t="n">
        <v>2890.0</v>
      </c>
      <c r="D2507" s="7" t="n">
        <f>HYPERLINK("https://www.somogyi.hu/product/home-nv-6-3-wh-1-5-halozati-eloszto-3-m-h05vv-f-3g1-5-mm2-kabel-ip20-kivitel-6-vedoerintkezos-aljzat-max-3500w-feher-nv-6-3-wh-1-5-16829","https://www.somogyi.hu/product/home-nv-6-3-wh-1-5-halozati-eloszto-3-m-h05vv-f-3g1-5-mm2-kabel-ip20-kivitel-6-vedoerintkezos-aljzat-max-3500w-feher-nv-6-3-wh-1-5-16829")</f>
        <v>0.0</v>
      </c>
      <c r="E2507" s="7" t="n">
        <f>HYPERLINK("https://www.somogyi.hu/data/img/product_main_images/small/16829.jpg","https://www.somogyi.hu/data/img/product_main_images/small/16829.jpg")</f>
        <v>0.0</v>
      </c>
      <c r="F2507" s="2" t="inlineStr">
        <is>
          <t>5999084948610</t>
        </is>
      </c>
      <c r="G2507" s="4" t="inlineStr">
        <is>
          <t>Az NV 6-3/WH/1,5 Hálózati elosztó fehér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08">
      <c r="A2508" s="3" t="inlineStr">
        <is>
          <t>NV 6K-5/WH/1,5</t>
        </is>
      </c>
      <c r="B2508" s="2" t="inlineStr">
        <is>
          <t>Home NV 6K-5/WH/1,5 hálózati elosztó, 5 m, H05VV-F 3G1,5 mm2 kábel, kétpólusú kapcsoló, IP20 kivitel, 6 védőérintkezős aljzat, max. 3500W, fehér</t>
        </is>
      </c>
      <c r="C2508" s="1" t="n">
        <v>4090.0</v>
      </c>
      <c r="D2508" s="7" t="n">
        <f>HYPERLINK("https://www.somogyi.hu/product/home-nv-6k-5-wh-1-5-halozati-eloszto-5-m-h05vv-f-3g1-5-mm2-kabel-ketpolusu-kapcsolo-ip20-kivitel-6-vedoerintkezos-aljzat-max-3500w-feher-nv-6k-5-wh-1-5-16841","https://www.somogyi.hu/product/home-nv-6k-5-wh-1-5-halozati-eloszto-5-m-h05vv-f-3g1-5-mm2-kabel-ketpolusu-kapcsolo-ip20-kivitel-6-vedoerintkezos-aljzat-max-3500w-feher-nv-6k-5-wh-1-5-16841")</f>
        <v>0.0</v>
      </c>
      <c r="E2508" s="7" t="n">
        <f>HYPERLINK("https://www.somogyi.hu/data/img/product_main_images/small/16841.jpg","https://www.somogyi.hu/data/img/product_main_images/small/16841.jpg")</f>
        <v>0.0</v>
      </c>
      <c r="F2508" s="2" t="inlineStr">
        <is>
          <t>5999084948733</t>
        </is>
      </c>
      <c r="G2508" s="4" t="inlineStr">
        <is>
          <t>Az NV 6K-5/WH/1,5 Kapcsolós hálózati elosztó 6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509">
      <c r="A2509" s="3" t="inlineStr">
        <is>
          <t>NV 3K/WH/1,5</t>
        </is>
      </c>
      <c r="B2509" s="2" t="inlineStr">
        <is>
          <t>Home NV 3K/WH/1,5 hálózati elosztó, 1,5 m, H05VV-F 3G1,5 mm2 kábel, kétpólusú kapcsoló, IP20 kivitel, 3 védőérintkezős aljzat, max. 3500W, fehér</t>
        </is>
      </c>
      <c r="C2509" s="1" t="n">
        <v>1850.0</v>
      </c>
      <c r="D2509" s="7" t="n">
        <f>HYPERLINK("https://www.somogyi.hu/product/home-nv-3k-wh-1-5-halozati-eloszto-1-5-m-h05vv-f-3g1-5-mm2-kabel-ketpolusu-kapcsolo-ip20-kivitel-3-vedoerintkezos-aljzat-max-3500w-feher-nv-3k-wh-1-5-16807","https://www.somogyi.hu/product/home-nv-3k-wh-1-5-halozati-eloszto-1-5-m-h05vv-f-3g1-5-mm2-kabel-ketpolusu-kapcsolo-ip20-kivitel-3-vedoerintkezos-aljzat-max-3500w-feher-nv-3k-wh-1-5-16807")</f>
        <v>0.0</v>
      </c>
      <c r="E2509" s="7" t="n">
        <f>HYPERLINK("https://www.somogyi.hu/data/img/product_main_images/small/16807.jpg","https://www.somogyi.hu/data/img/product_main_images/small/16807.jpg")</f>
        <v>0.0</v>
      </c>
      <c r="F2509" s="2" t="inlineStr">
        <is>
          <t>5999084948399</t>
        </is>
      </c>
      <c r="G2509" s="4" t="inlineStr">
        <is>
          <t>Az NV 3K/WH/1,5 Kapcsolós hálózati elosztó 3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510">
      <c r="A2510" s="3" t="inlineStr">
        <is>
          <t>NV 6-5/WH/1,5</t>
        </is>
      </c>
      <c r="B2510" s="2" t="inlineStr">
        <is>
          <t>Home NV 6-5/WH/1,5 hálózati elosztó, 5 m, H05VV-F 3G1,5 mm2 kábel,  IP20 kivitel, 6 védőérintkezős aljzat, max. 3500W, fehér</t>
        </is>
      </c>
      <c r="C2510" s="1" t="n">
        <v>3790.0</v>
      </c>
      <c r="D2510" s="7" t="n">
        <f>HYPERLINK("https://www.somogyi.hu/product/home-nv-6-5-wh-1-5-halozati-eloszto-5-m-h05vv-f-3g1-5-mm2-kabel-ip20-kivitel-6-vedoerintkezos-aljzat-max-3500w-feher-nv-6-5-wh-1-5-16831","https://www.somogyi.hu/product/home-nv-6-5-wh-1-5-halozati-eloszto-5-m-h05vv-f-3g1-5-mm2-kabel-ip20-kivitel-6-vedoerintkezos-aljzat-max-3500w-feher-nv-6-5-wh-1-5-16831")</f>
        <v>0.0</v>
      </c>
      <c r="E2510" s="7" t="n">
        <f>HYPERLINK("https://www.somogyi.hu/data/img/product_main_images/small/16831.jpg","https://www.somogyi.hu/data/img/product_main_images/small/16831.jpg")</f>
        <v>0.0</v>
      </c>
      <c r="F2510" s="2" t="inlineStr">
        <is>
          <t>5999084948634</t>
        </is>
      </c>
      <c r="G2510" s="4" t="inlineStr">
        <is>
          <t>Az NV 6-5/WH/1,5 Hálózati elosztó fehér színű, 6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11">
      <c r="A2511" s="3" t="inlineStr">
        <is>
          <t>NV 6K-10/WH/1,5</t>
        </is>
      </c>
      <c r="B2511" s="2" t="inlineStr">
        <is>
          <t>Home NV 6K-10/WH/1,5 hálózati elosztó, 10 m, H05VV-F 3G1,5 mm2 kábel, kétpólusú kapcsoló, IP20 kivitel, 6 védőérintkezős aljzat, max. 3500W, fehér</t>
        </is>
      </c>
      <c r="C2511" s="1" t="n">
        <v>6390.0</v>
      </c>
      <c r="D2511" s="7" t="n">
        <f>HYPERLINK("https://www.somogyi.hu/product/home-nv-6k-10-wh-1-5-halozati-eloszto-10-m-h05vv-f-3g1-5-mm2-kabel-ketpolusu-kapcsolo-ip20-kivitel-6-vedoerintkezos-aljzat-max-3500w-feher-nv-6k-10-wh-1-5-16842","https://www.somogyi.hu/product/home-nv-6k-10-wh-1-5-halozati-eloszto-10-m-h05vv-f-3g1-5-mm2-kabel-ketpolusu-kapcsolo-ip20-kivitel-6-vedoerintkezos-aljzat-max-3500w-feher-nv-6k-10-wh-1-5-16842")</f>
        <v>0.0</v>
      </c>
      <c r="E2511" s="7" t="n">
        <f>HYPERLINK("https://www.somogyi.hu/data/img/product_main_images/small/16842.jpg","https://www.somogyi.hu/data/img/product_main_images/small/16842.jpg")</f>
        <v>0.0</v>
      </c>
      <c r="F2511" s="2" t="inlineStr">
        <is>
          <t>5999084948740</t>
        </is>
      </c>
      <c r="G2511" s="4" t="inlineStr">
        <is>
          <t>Az NV 6K-10/WH/1,5 Kapcsolós hálózati elosztó 6 db aljzattal ellátott, melyet egy fő kapcsolóval áramtalanítani tud. A biztonságos használat érdekében IP 20 védelemmel és gyermekvédelemmel ellátott. A fehér színű elosztó 10 m hosszú H05VV-F 3G1,5 mm2 kábellel felszerelt. 
Vásároljon megbízható hálózati elosztót!</t>
        </is>
      </c>
    </row>
    <row r="2512">
      <c r="A2512" s="3" t="inlineStr">
        <is>
          <t>NV 6K-3/WH/1,5</t>
        </is>
      </c>
      <c r="B2512" s="2" t="inlineStr">
        <is>
          <t>Home NV 6K-3/WH/1,5 hálózati elosztó, 3 m, H05VV-F 3G1,5 mm2 kábel, kétpólusú kapcsoló, IP20 kivitel, 6 védőérintkezős aljzat, max. 3500W, fehér</t>
        </is>
      </c>
      <c r="C2512" s="1" t="n">
        <v>3190.0</v>
      </c>
      <c r="D2512" s="7" t="n">
        <f>HYPERLINK("https://www.somogyi.hu/product/home-nv-6k-3-wh-1-5-halozati-eloszto-3-m-h05vv-f-3g1-5-mm2-kabel-ketpolusu-kapcsolo-ip20-kivitel-6-vedoerintkezos-aljzat-max-3500w-feher-nv-6k-3-wh-1-5-16838","https://www.somogyi.hu/product/home-nv-6k-3-wh-1-5-halozati-eloszto-3-m-h05vv-f-3g1-5-mm2-kabel-ketpolusu-kapcsolo-ip20-kivitel-6-vedoerintkezos-aljzat-max-3500w-feher-nv-6k-3-wh-1-5-16838")</f>
        <v>0.0</v>
      </c>
      <c r="E2512" s="7" t="n">
        <f>HYPERLINK("https://www.somogyi.hu/data/img/product_main_images/small/16838.jpg","https://www.somogyi.hu/data/img/product_main_images/small/16838.jpg")</f>
        <v>0.0</v>
      </c>
      <c r="F2512" s="2" t="inlineStr">
        <is>
          <t>5999084948702</t>
        </is>
      </c>
      <c r="G2512" s="4" t="inlineStr">
        <is>
          <t>Az NV 6K-3/WH/1,5 Kapcsolós hálózati elosztó 6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513">
      <c r="A2513" s="3" t="inlineStr">
        <is>
          <t>NV 3K-3/BK/1,5</t>
        </is>
      </c>
      <c r="B2513" s="2" t="inlineStr">
        <is>
          <t>Home NV 3K-3/BK/1,5 hálózati elosztó, 3 m, H05VV-F 3G1,5 mm2 kábel, kétpólusú kapcsoló, IP20 kivitel, 3 védőérintkezős aljzat, max. 3500W, fekete</t>
        </is>
      </c>
      <c r="C2513" s="1" t="n">
        <v>2690.0</v>
      </c>
      <c r="D2513" s="7" t="n">
        <f>HYPERLINK("https://www.somogyi.hu/product/home-nv-3k-3-bk-1-5-halozati-eloszto-3-m-h05vv-f-3g1-5-mm2-kabel-ketpolusu-kapcsolo-ip20-kivitel-3-vedoerintkezos-aljzat-max-3500w-fekete-nv-3k-3-bk-1-5-17134","https://www.somogyi.hu/product/home-nv-3k-3-bk-1-5-halozati-eloszto-3-m-h05vv-f-3g1-5-mm2-kabel-ketpolusu-kapcsolo-ip20-kivitel-3-vedoerintkezos-aljzat-max-3500w-fekete-nv-3k-3-bk-1-5-17134")</f>
        <v>0.0</v>
      </c>
      <c r="E2513" s="7" t="n">
        <f>HYPERLINK("https://www.somogyi.hu/data/img/product_main_images/small/17134.jpg","https://www.somogyi.hu/data/img/product_main_images/small/17134.jpg")</f>
        <v>0.0</v>
      </c>
      <c r="F2513" s="2" t="inlineStr">
        <is>
          <t>5999084951665</t>
        </is>
      </c>
      <c r="G2513" s="4" t="inlineStr">
        <is>
          <t>Az NV 3K-3/BK/1,5 Kapcsolós hálózati elosztó 3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514">
      <c r="A2514" s="3" t="inlineStr">
        <is>
          <t>NV 5K-3/WH/1,5</t>
        </is>
      </c>
      <c r="B2514" s="2" t="inlineStr">
        <is>
          <t>Home NV 5K-3/WH/1,5 hálózati elosztó, 3 m, H05VV-F 3G1,5 mm2 kábel, kétpólusú kapcsoló, IP20 kivitel, 5 védőérintkezős aljzat, max. 3500W, fehér</t>
        </is>
      </c>
      <c r="C2514" s="1" t="n">
        <v>2990.0</v>
      </c>
      <c r="D2514" s="7" t="n">
        <f>HYPERLINK("https://www.somogyi.hu/product/home-nv-5k-3-wh-1-5-halozati-eloszto-3-m-h05vv-f-3g1-5-mm2-kabel-ketpolusu-kapcsolo-ip20-kivitel-5-vedoerintkezos-aljzat-max-3500w-feher-nv-5k-3-wh-1-5-17138","https://www.somogyi.hu/product/home-nv-5k-3-wh-1-5-halozati-eloszto-3-m-h05vv-f-3g1-5-mm2-kabel-ketpolusu-kapcsolo-ip20-kivitel-5-vedoerintkezos-aljzat-max-3500w-feher-nv-5k-3-wh-1-5-17138")</f>
        <v>0.0</v>
      </c>
      <c r="E2514" s="7" t="n">
        <f>HYPERLINK("https://www.somogyi.hu/data/img/product_main_images/small/17138.jpg","https://www.somogyi.hu/data/img/product_main_images/small/17138.jpg")</f>
        <v>0.0</v>
      </c>
      <c r="F2514" s="2" t="inlineStr">
        <is>
          <t>5999084951702</t>
        </is>
      </c>
      <c r="G2514" s="4" t="inlineStr">
        <is>
          <t>Az NV 5K-3/WH/1,5 Kapcsolós hálózati elosztó 5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515">
      <c r="A2515" s="3" t="inlineStr">
        <is>
          <t>PNV 08K/WH</t>
        </is>
      </c>
      <c r="B2515" s="2" t="inlineStr">
        <is>
          <t>Home PNV 08K/WH hálózati elosztó, 2 m, H05VV-F 3G1,0 mm2 kábel, kapcsolós, IP20 kivitel, 8 aljzat gyermekvédelemmel, max. 3500W, fehér, felakasztható</t>
        </is>
      </c>
      <c r="C2515" s="1" t="n">
        <v>4890.0</v>
      </c>
      <c r="D2515" s="7" t="n">
        <f>HYPERLINK("https://www.somogyi.hu/product/home-pnv-08k-wh-halozati-eloszto-2-m-h05vv-f-3g1-0-mm2-kabel-kapcsolos-ip20-kivitel-8-aljzat-gyermekvedelemmel-max-3500w-feher-felakaszthato-pnv-08k-wh-8744","https://www.somogyi.hu/product/home-pnv-08k-wh-halozati-eloszto-2-m-h05vv-f-3g1-0-mm2-kabel-kapcsolos-ip20-kivitel-8-aljzat-gyermekvedelemmel-max-3500w-feher-felakaszthato-pnv-08k-wh-8744")</f>
        <v>0.0</v>
      </c>
      <c r="E2515" s="7" t="n">
        <f>HYPERLINK("https://www.somogyi.hu/data/img/product_main_images/small/08744.jpg","https://www.somogyi.hu/data/img/product_main_images/small/08744.jpg")</f>
        <v>0.0</v>
      </c>
      <c r="F2515" s="2" t="inlineStr">
        <is>
          <t>5998312776278</t>
        </is>
      </c>
      <c r="G2515" s="4" t="inlineStr">
        <is>
          <t>Keress az igényeinek megfelelő mennyiségű aljzattal ellátott elosztókat! A PNV 08K/WH egy 2 méteres kábellel és 8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16">
      <c r="A2516" s="3" t="inlineStr">
        <is>
          <t>NVT 4K-3/BK</t>
        </is>
      </c>
      <c r="B2516" s="2" t="inlineStr">
        <is>
          <t>Home NVT 4K-3/BK túlfeszültségvédett hálózati elosztó, 3 m, H05VV-F 3G1,5 mm2 kábel, 4 aljzat gyermekvédelemmel, kapcsoló, felakasztható, max. 3680W, fekete</t>
        </is>
      </c>
      <c r="C2516" s="1" t="n">
        <v>5390.0</v>
      </c>
      <c r="D2516" s="7" t="n">
        <f>HYPERLINK("https://www.somogyi.hu/product/home-nvt-4k-3-bk-tulfeszultsegvedett-halozati-eloszto-3-m-h05vv-f-3g1-5-mm2-kabel-4-aljzat-gyermekvedelemmel-kapcsolo-felakaszthato-max-3680w-fekete-nvt-4k-3-bk-17069","https://www.somogyi.hu/product/home-nvt-4k-3-bk-tulfeszultsegvedett-halozati-eloszto-3-m-h05vv-f-3g1-5-mm2-kabel-4-aljzat-gyermekvedelemmel-kapcsolo-felakaszthato-max-3680w-fekete-nvt-4k-3-bk-17069")</f>
        <v>0.0</v>
      </c>
      <c r="E2516" s="7" t="n">
        <f>HYPERLINK("https://www.somogyi.hu/data/img/product_main_images/small/17069.jpg","https://www.somogyi.hu/data/img/product_main_images/small/17069.jpg")</f>
        <v>0.0</v>
      </c>
      <c r="F2516" s="2" t="inlineStr">
        <is>
          <t>5999084951016</t>
        </is>
      </c>
      <c r="G2516" s="4" t="inlineStr">
        <is>
          <t xml:space="preserve"> • vezeték típusa: H05VV-F 3G 1,5  mm² 
 • vezeték hossza: 3 m 
 • névleges feszültség: 250 V~ 
 • névleges áramerősség: 16 A 
 • névleges teljesítmény: 3680 W 
 • aljzatok száma: 4 aljzat védőzsaluval ellátva 
 • gyerekzár: van 
 • túlfeszültségvédelem: 3 kV-ig 
 • kapcsoló: van 
 • felakasztható aljzatok: igen 
 • szín: fekete 
 • IP védettségi fokozat: IP 20</t>
        </is>
      </c>
    </row>
    <row r="2517">
      <c r="A2517" s="3" t="inlineStr">
        <is>
          <t>NV 17/WH</t>
        </is>
      </c>
      <c r="B2517" s="2" t="inlineStr">
        <is>
          <t>Home NV 17/WH hálózati elosztó, 1,5 m, H05VV-F 3G1,0 mm2 kábel, kapcsolós, IP20 kivitel, 3 védőérintkezős és 4 euro aljzat, max. 3500W, fehér</t>
        </is>
      </c>
      <c r="C2517" s="1" t="n">
        <v>2390.0</v>
      </c>
      <c r="D2517" s="7" t="n">
        <f>HYPERLINK("https://www.somogyi.hu/product/home-nv-17-wh-halozati-eloszto-1-5-m-h05vv-f-3g1-0-mm2-kabel-kapcsolos-ip20-kivitel-3-vedoerintkezos-es-4-euro-aljzat-max-3500w-feher-nv-17-wh-8746","https://www.somogyi.hu/product/home-nv-17-wh-halozati-eloszto-1-5-m-h05vv-f-3g1-0-mm2-kabel-kapcsolos-ip20-kivitel-3-vedoerintkezos-es-4-euro-aljzat-max-3500w-feher-nv-17-wh-8746")</f>
        <v>0.0</v>
      </c>
      <c r="E2517" s="7" t="n">
        <f>HYPERLINK("https://www.somogyi.hu/data/img/product_main_images/small/08746.jpg","https://www.somogyi.hu/data/img/product_main_images/small/08746.jpg")</f>
        <v>0.0</v>
      </c>
      <c r="F2517" s="2" t="inlineStr">
        <is>
          <t>5998312776292</t>
        </is>
      </c>
      <c r="G2517" s="4" t="inlineStr">
        <is>
          <t>Vásároljon kapcsolóval ellátott hálózati elosztót! Az NV 17/WH fehér színű elosztón 3 védőérintkezős és 4 euro aljzat található, amelyhez 1,5 méter hosszú, H05VV-F 3G1,0 mm² kábel tartozik IP20 kivitelben. A kábel mérete: 3 x 1,0 mm². Felhasználhatósága: 250 V~ / 16 A / 3500 W. Válassza a minőségi termékeket és rendeljen webáruházunkból.</t>
        </is>
      </c>
    </row>
    <row r="2518">
      <c r="A2518" s="3" t="inlineStr">
        <is>
          <t>PNV 10K/WH</t>
        </is>
      </c>
      <c r="B2518" s="2" t="inlineStr">
        <is>
          <t>Home PNV 10K/WH hálózati elosztó, 2 m, H05VV-F 3G1,0 mm2 kábel, kapcsolós, IP20 kivitel, 10 aljzat gyermekvédelemmel, max. 3500W, fehér, felakasztható</t>
        </is>
      </c>
      <c r="C2518" s="1" t="n">
        <v>5690.0</v>
      </c>
      <c r="D2518" s="7" t="n">
        <f>HYPERLINK("https://www.somogyi.hu/product/home-pnv-10k-wh-halozati-eloszto-2-m-h05vv-f-3g1-0-mm2-kabel-kapcsolos-ip20-kivitel-10-aljzat-gyermekvedelemmel-max-3500w-feher-felakaszthato-pnv-10k-wh-8745","https://www.somogyi.hu/product/home-pnv-10k-wh-halozati-eloszto-2-m-h05vv-f-3g1-0-mm2-kabel-kapcsolos-ip20-kivitel-10-aljzat-gyermekvedelemmel-max-3500w-feher-felakaszthato-pnv-10k-wh-8745")</f>
        <v>0.0</v>
      </c>
      <c r="E2518" s="7" t="n">
        <f>HYPERLINK("https://www.somogyi.hu/data/img/product_main_images/small/08745.jpg","https://www.somogyi.hu/data/img/product_main_images/small/08745.jpg")</f>
        <v>0.0</v>
      </c>
      <c r="F2518" s="2" t="inlineStr">
        <is>
          <t>5998312776285</t>
        </is>
      </c>
      <c r="G2518" s="4" t="inlineStr">
        <is>
          <t>Keress az igényeinek megfelelő mennyiségű aljzattal ellátott elosztókat! A PNV 10K/WH egy 2 méteres kábellel és 10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19">
      <c r="A2519" s="3" t="inlineStr">
        <is>
          <t>NV 04TK-5/WH/1,5</t>
        </is>
      </c>
      <c r="B2519" s="2" t="inlineStr">
        <is>
          <t>Home NV 04TK-5/WH/1,5, talpkapcsolós elosztó világító kapcsolóval, 5 m, H05VV-F 3G1,5 mm2 kábel, 4 aljzat gyermekvédelemmel, max. 3500W, fehér</t>
        </is>
      </c>
      <c r="C2519" s="1" t="n">
        <v>4890.0</v>
      </c>
      <c r="D2519" s="7" t="n">
        <f>HYPERLINK("https://www.somogyi.hu/product/home-nv-04tk-5-wh-1-5-talpkapcsolos-eloszto-vilagito-kapcsoloval-5-m-h05vv-f-3g1-5-mm2-kabel-4-aljzat-gyermekvedelemmel-max-3500w-feher-nv-04tk-5-wh-1-5-17159","https://www.somogyi.hu/product/home-nv-04tk-5-wh-1-5-talpkapcsolos-eloszto-vilagito-kapcsoloval-5-m-h05vv-f-3g1-5-mm2-kabel-4-aljzat-gyermekvedelemmel-max-3500w-feher-nv-04tk-5-wh-1-5-17159")</f>
        <v>0.0</v>
      </c>
      <c r="E2519" s="7" t="n">
        <f>HYPERLINK("https://www.somogyi.hu/data/img/product_main_images/small/17159.jpg","https://www.somogyi.hu/data/img/product_main_images/small/17159.jpg")</f>
        <v>0.0</v>
      </c>
      <c r="F2519" s="2" t="inlineStr">
        <is>
          <t>5999084951917</t>
        </is>
      </c>
      <c r="G2519" s="4" t="inlineStr">
        <is>
          <t>NV 04TK-5/WH/1,5 típusú talpkapcsolós elosztó világító kapcsolóval van ellátva. A négy aljzathoz 5 méteres kábel tartozik. A termék előnye, hogy a negyedik aljzat külön található, hogy kényelmesen elférjen pl. egy adapter. Válassza a minőségi termékeket és rendeljen webáruházunkból!</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2024-05-16T23:00:04Z</dcterms:created>
  <dc:creator>Apache POI</dc:creator>
</cp:coreProperties>
</file>